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xl/workbook.xml" Id="Rd06abdbc5bd14fff" /><Relationship Type="http://schemas.openxmlformats.org/package/2006/relationships/metadata/core-properties" Target="docProps/core.xml" Id="R8d04d7a037c24481" /><Relationship Type="http://schemas.openxmlformats.org/officeDocument/2006/relationships/extended-properties" Target="docProps/app.xml" Id="R75edc50b32b74050" /><Relationship Type="http://schemas.openxmlformats.org/officeDocument/2006/relationships/custom-properties" Target="docProps/custom.xml" Id="R060b4ce627084664" 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Załącznik 1" sheetId="1" r:id="R36accde651d04016"/>
  </sheets>
</workbook>
</file>

<file path=xl/sharedStrings.xml><?xml version="1.0" encoding="utf-8"?>
<sst xmlns="http://schemas.openxmlformats.org/spreadsheetml/2006/main" count="217" uniqueCount="217">
  <si>
    <t>Lp.</t>
  </si>
  <si>
    <t>Wyszczególnienie</t>
  </si>
  <si>
    <t>2017</t>
  </si>
  <si>
    <t>2018</t>
  </si>
  <si>
    <t>2019</t>
  </si>
  <si>
    <t>2020</t>
  </si>
  <si>
    <t>2021</t>
  </si>
  <si>
    <t>2022</t>
  </si>
  <si>
    <t>2023 3kw.</t>
  </si>
  <si>
    <t>2023 pw.</t>
  </si>
  <si>
    <t>2024</t>
  </si>
  <si>
    <t>2025</t>
  </si>
  <si>
    <t>2026</t>
  </si>
  <si>
    <t>2027</t>
  </si>
  <si>
    <t>2028</t>
  </si>
  <si>
    <t>2029</t>
  </si>
  <si>
    <t>2030</t>
  </si>
  <si>
    <t>2031</t>
  </si>
  <si>
    <t>2032</t>
  </si>
  <si>
    <t>2033</t>
  </si>
  <si>
    <t>2034</t>
  </si>
  <si>
    <t>2035</t>
  </si>
  <si>
    <t>2036</t>
  </si>
  <si>
    <t>1</t>
  </si>
  <si>
    <t>Dochody ogółem</t>
  </si>
  <si>
    <t>1.1</t>
  </si>
  <si>
    <t>Dochody bieżące, z tego:</t>
  </si>
  <si>
    <t>1.1.1</t>
  </si>
  <si>
    <t>dochody z tytułu udziału we wpływach z podatku dochodowego od osób fizycznych</t>
  </si>
  <si>
    <t>1.1.2</t>
  </si>
  <si>
    <t>dochody z tytułu udziału we wpływach z podatku dochodowego od osób prawnych</t>
  </si>
  <si>
    <t>1.1.3</t>
  </si>
  <si>
    <t>z subwencji ogólnej</t>
  </si>
  <si>
    <t>1.1.4</t>
  </si>
  <si>
    <t>z tytułu dotacji i środków przeznaczonych na cele bieżące</t>
  </si>
  <si>
    <t>1.1.5</t>
  </si>
  <si>
    <t>pozostałe dochody bieżące, w tym:</t>
  </si>
  <si>
    <t>1.1.5.1</t>
  </si>
  <si>
    <t>z podatku od nieruchomości</t>
  </si>
  <si>
    <t>1.1.x</t>
  </si>
  <si>
    <t>Inne</t>
  </si>
  <si>
    <t>1.2</t>
  </si>
  <si>
    <t>Dochody majątkowe, w tym:</t>
  </si>
  <si>
    <t>1.2.1</t>
  </si>
  <si>
    <t>ze sprzedaży majątku</t>
  </si>
  <si>
    <t>1.2.2</t>
  </si>
  <si>
    <t>z tytułu dotacji oraz środków przeznaczonych na inwestycje</t>
  </si>
  <si>
    <t>1.2.x</t>
  </si>
  <si>
    <t>2</t>
  </si>
  <si>
    <t>Wydatki ogółem</t>
  </si>
  <si>
    <t>2.1</t>
  </si>
  <si>
    <t>Wydatki bieżące, w tym:</t>
  </si>
  <si>
    <t>2.1.1</t>
  </si>
  <si>
    <t>na wynagrodzenia i składki od nich naliczane</t>
  </si>
  <si>
    <t>2.1.2</t>
  </si>
  <si>
    <t>z tytułu poręczeń i gwarancji, w tym:</t>
  </si>
  <si>
    <t>2.1.2.1</t>
  </si>
  <si>
    <t>gwarancje i poręczenia podlegające wyłączeniu z limitu spłaty zobowiązań, o którym mowa w art. 243 ustawy</t>
  </si>
  <si>
    <t>2.1.3</t>
  </si>
  <si>
    <t>wydatki na obsługę długu, w tym:</t>
  </si>
  <si>
    <t>2.1.3.x</t>
  </si>
  <si>
    <t>odsetki i dyskonto</t>
  </si>
  <si>
    <t>2.1.3.1</t>
  </si>
  <si>
    <t>odsetki i dyskonto podlegające wyłączeniu z limitu spłaty zobowiązań, o którym mowa w art. 243 ustawy, w terminie nie dłuższym niż 90 dni po zakończeniu programu, projektu lub zadania i otrzymaniu refundacji z tych środków (bez odsetek i dyskonta od zobowiązań na wkład krajowy)</t>
  </si>
  <si>
    <t>2.1.3.2</t>
  </si>
  <si>
    <t>odsetki i dyskonto podlegające wyłączeniu z limitu spłaty zobowiązań, o którym mowa w art. 243 ustawy, z tytułu zobowiązań zaciągniętych na wkład krajowy</t>
  </si>
  <si>
    <t>2.1.3.3</t>
  </si>
  <si>
    <t>pozostałe odsetki i dyskonto podlegające wyłączeniu z limitu spłaty zobowiązań, o którym mowa w art. 243 ustawy</t>
  </si>
  <si>
    <t>2.1.x</t>
  </si>
  <si>
    <t>2.2</t>
  </si>
  <si>
    <t>Wydatki majątkowe, w tym:</t>
  </si>
  <si>
    <t>2.2.1</t>
  </si>
  <si>
    <t>Inwestycje i zakupy inwestycyjne, o których mowa w art. 236 ust. 4 pkt 1 ustawy, w tym:</t>
  </si>
  <si>
    <t>2.2.1.1</t>
  </si>
  <si>
    <t>wydatki o charakterze dotacyjnym na inwestycje i zakupy inwestycyjne</t>
  </si>
  <si>
    <t>2.2.x</t>
  </si>
  <si>
    <t>3</t>
  </si>
  <si>
    <t>Wynik budżetu</t>
  </si>
  <si>
    <t>3.1</t>
  </si>
  <si>
    <t>Kwota prognozowanej nadwyżki budżetu przeznaczana na spłatę kredytów, pożyczek i wykup papierów wartościowych</t>
  </si>
  <si>
    <t>4</t>
  </si>
  <si>
    <t>Przychody budżetu</t>
  </si>
  <si>
    <t>4.1</t>
  </si>
  <si>
    <t>Kredyty, pożyczki, emisja papierów wartościowych, w tym:</t>
  </si>
  <si>
    <t>4.1.1</t>
  </si>
  <si>
    <t>na pokrycie deficytu budżetu</t>
  </si>
  <si>
    <t>4.2</t>
  </si>
  <si>
    <t>Nadwyżka budżetowa z lat ubiegłych, w tym:</t>
  </si>
  <si>
    <t>4.2.1</t>
  </si>
  <si>
    <t>4.3</t>
  </si>
  <si>
    <t>Wolne środki, o których mowa w art. 217 ust. 2 pkt 6 ustawy, w tym:</t>
  </si>
  <si>
    <t>4.3.1</t>
  </si>
  <si>
    <t>4.4</t>
  </si>
  <si>
    <t>Spłaty udzielonych pożyczek w latach ubiegłych, w tym:</t>
  </si>
  <si>
    <t>4.4.1</t>
  </si>
  <si>
    <t>4.5</t>
  </si>
  <si>
    <t>Inne przychody niezwiązane z zaciągnięciem długu, w tym:</t>
  </si>
  <si>
    <t>4.5.1</t>
  </si>
  <si>
    <t>5</t>
  </si>
  <si>
    <t>Rozchody budżetu</t>
  </si>
  <si>
    <t>5.1</t>
  </si>
  <si>
    <t>Spłaty rat kapitałowych kredytów i pożyczek oraz wykup papierów wartościowych, w tym:</t>
  </si>
  <si>
    <t>5.1.1</t>
  </si>
  <si>
    <t>łączna kwota przypadających na dany rok kwot ustawowych wyłączeń z limitu spłaty zobowiązań, w tym:</t>
  </si>
  <si>
    <t>5.1.1.1</t>
  </si>
  <si>
    <t>kwota przypadających na dany rok kwot wyłączeń określonych w art. 243 ust. 3 ustawy</t>
  </si>
  <si>
    <t>5.1.1.2</t>
  </si>
  <si>
    <t>kwota przypadających na dany rok kwot wyłączeń określonych w art. 243 ust. 3a ustawy</t>
  </si>
  <si>
    <t>5.1.1.3</t>
  </si>
  <si>
    <t>kwota wyłączeń z tytułu wcześniejszej spłaty zobowiązań, określonych w art. 243 ust. 3b ustawy, z tego:</t>
  </si>
  <si>
    <t>5.1.1.3.1</t>
  </si>
  <si>
    <t>środkami nowego zobowiązania</t>
  </si>
  <si>
    <t>5.1.1.3.2</t>
  </si>
  <si>
    <t>wolnymi środkami, o których mowa w art. 217 ust. 2 pkt 6 ustawy</t>
  </si>
  <si>
    <t>5.1.1.3.3</t>
  </si>
  <si>
    <t>innymi środkami</t>
  </si>
  <si>
    <t>5.1.1.4</t>
  </si>
  <si>
    <t>kwota przypadających na dany rok kwot pozostałych ustawowych wyłączeń z limitu spłaty zobowiązań</t>
  </si>
  <si>
    <t>5.2</t>
  </si>
  <si>
    <t>Inne rozchody, niezwiązane ze spłatą długu</t>
  </si>
  <si>
    <t>6</t>
  </si>
  <si>
    <t>Kwota długu, w tym:</t>
  </si>
  <si>
    <t>6.1</t>
  </si>
  <si>
    <t>kwota długu, którego planowana spłata dokona się z wydatków</t>
  </si>
  <si>
    <t>7</t>
  </si>
  <si>
    <t>Relacja zrównoważenia wydatków bieżących, o której mowa w art. 242 ustawy</t>
  </si>
  <si>
    <t/>
  </si>
  <si>
    <t>7.1</t>
  </si>
  <si>
    <t>Różnica między dochodami bieżącymi a wydatkami bieżącymi</t>
  </si>
  <si>
    <t>7.2</t>
  </si>
  <si>
    <t>Różnica między dochodami bieżącymi, skorygowanymi o środki, a wydatkami bieżącymi</t>
  </si>
  <si>
    <t>7.2.x</t>
  </si>
  <si>
    <t>Relacja z art. 242 ust. 1 ustawy o finansach publicznych skorygowana o planowane wydatki bieżące na realizację zadań związanych z pomocom obywatelom Ukrainy oraz organizacją Igrzysk</t>
  </si>
  <si>
    <t>8</t>
  </si>
  <si>
    <t>Wskaźnik spłaty zobowiązań</t>
  </si>
  <si>
    <t>8.1</t>
  </si>
  <si>
    <t>Relacja określona po lewej stronie nierówności we wzorze, o którym mowa w art. 243 ust. 1 ustawy (po uwzględnieniu zobowiązań związku współtworzonego przez jednostkę samorządu terytorialnego oraz po uwzględnieniu ustawowych wyłączeń przypadających na dany rok)</t>
  </si>
  <si>
    <t>8.2</t>
  </si>
  <si>
    <t>Relacja określona po prawej stronie nierówności we wzorze, o którym mowa w art. 243 ust. 1 ustawy, ustalona dla danego roku (wkaźnik jednoroczny)</t>
  </si>
  <si>
    <t>8.2.x</t>
  </si>
  <si>
    <t>Wskaźnik jednoroczny określony po prawej stronie nierówności we wzorze, o którym mowa w art. 243 ust. 1 ustawy, ustalony dla danego roku (wskaźnik jednoroczny)</t>
  </si>
  <si>
    <t>8.3</t>
  </si>
  <si>
    <t>Dopuszczalny limit spłaty zobowiązań określony po prawej stronie nierówności we wzorze, o którym mowa w art. 243 ustawy, po uwzględnieniu ustawowych wyłączeń, obliczony w oparciu o plan 3. kwartału roku poprzedzającego pierwszy rok prognozy (wskaźnik ustalony w oparciu o średnią arytmetyczną z poprzednich lat)</t>
  </si>
  <si>
    <t>8.3.1</t>
  </si>
  <si>
    <t>Dopuszczalny limit spłaty zobowiązań określony po prawej stronie nierówności we wzorze, o którym mowa w art. 243 ustawy, po uwzględnieniu ustawowych wyłączeń, obliczony w oparciu o wykonanie roku poprzedzającego pierwszy rok prognozy (wskaźnik ustalony w oparciu o średnią arytmetyczną z poprzednich lat)</t>
  </si>
  <si>
    <t>8.4</t>
  </si>
  <si>
    <t>Informacja o spełnieniu wskaźnika spłaty zobowiązań określonego w art. 243 ustawy, po uwzględnieniu zobowiązań związku współtworzonego przez jednostkę samorządu terytorialnego oraz po uwzględnieniu ustawowych wyłączeń, obliczonego w oparciu o plan 3 kwartałów roku poprzedzającego rok budżetowy</t>
  </si>
  <si>
    <t>8.4.1</t>
  </si>
  <si>
    <t>Informacja o spełnieniu wskaźnika spłaty zobowiązań określonego w art. 243 ustawy, po uwzględnieniu zobowiązań związku współtworzonego przez jednostkę samorządu terytorialnego oraz po uwzględnieniu ustawowych wyłączeń, obliczonego w oparciu o wykonanie roku poprzedzającego rok budżetowy</t>
  </si>
  <si>
    <t>9</t>
  </si>
  <si>
    <t>Finansowanie programów, projektów lub zadań realizowanych z udziałem środków, o których mowa w art. 5 ust. 1 pkt 2 i 3 ustawy</t>
  </si>
  <si>
    <t>9.1</t>
  </si>
  <si>
    <t>Dochody bieżące na programy, projekty lub zadania finansowe z udziałem środków, o których mowa w art. 5 ust. 1 pkt 2 i 3 ustawy</t>
  </si>
  <si>
    <t>9.1.1</t>
  </si>
  <si>
    <t>Dotacje i środki o charakterze bieżącym na realizację programu, projektu lub zadania finansowanego z udziałem środków, o których mowa w art. 5 ust. 1 pkt 2 ustawy, w tym:</t>
  </si>
  <si>
    <t>9.1.1.1</t>
  </si>
  <si>
    <t>środki określone w art. 5 ust. 1 pkt 2 ustawy</t>
  </si>
  <si>
    <t>9.2</t>
  </si>
  <si>
    <t>Dochody majątkowe na programy, projekty lub zadania finansowe z udziałem środków, o których mowa w art. 5 ust. 1 pkt 2 i 3 ustawy</t>
  </si>
  <si>
    <t>9.2.1</t>
  </si>
  <si>
    <t>Dochody majątkowe na programy, projekty lub zadania finansowe z udziałem środków, o których mowa w art. 5 ust. 1 pkt 2 ustawy, w tym:</t>
  </si>
  <si>
    <t>9.2.1.1</t>
  </si>
  <si>
    <t>9.3</t>
  </si>
  <si>
    <t>Wydatki bieżące na programy, projekty lub zadania finansowe z udziałem środków, o których mowa w art. 5 ust. 1 pkt 2 i 3 ustawy</t>
  </si>
  <si>
    <t>9.3.1</t>
  </si>
  <si>
    <t>Wydatki bieżące na programy, projekty lub zadania finansowe z udziałem środków, o których mowa w art. 5 ust. 1 pkt 2 ustawy, w tym:</t>
  </si>
  <si>
    <t>9.3.1.1</t>
  </si>
  <si>
    <t>finansowane środkami określonymi w art. 5 ust. 1 pkt 2 ustawy</t>
  </si>
  <si>
    <t>9.4</t>
  </si>
  <si>
    <t>Wydatki majątkowe na programy, projekty lub zadania finansowe z udziałem środków, o których mowa w art. 5 ust. 1 pkt 2 i 3 ustawy</t>
  </si>
  <si>
    <t>9.4.1</t>
  </si>
  <si>
    <t>Wydatki majątkowe na programy, projekty lub zadania finansowe z udziałem środków, o których mowa w art. 5 ust. 1 pkt 2 ustawy, w tym:</t>
  </si>
  <si>
    <t>9.4.1.1</t>
  </si>
  <si>
    <t>10</t>
  </si>
  <si>
    <t>Informacje uzupełniające o wybranych kategoriach finansowych</t>
  </si>
  <si>
    <t>10.1</t>
  </si>
  <si>
    <t>Wydatki objęte limitem, o którym mowa w art. 226 ust. 3 pkt 4 ustawy, z tego:</t>
  </si>
  <si>
    <t>10.1.1</t>
  </si>
  <si>
    <t>bieżące</t>
  </si>
  <si>
    <t>10.1.2</t>
  </si>
  <si>
    <t>majątkowe</t>
  </si>
  <si>
    <t>10.2</t>
  </si>
  <si>
    <t>Wydatki bieżące na pokrycie ujemnego wyniku finansowego samodzielnego publicznego zakładu opieki zdrowotnej</t>
  </si>
  <si>
    <t>10.3</t>
  </si>
  <si>
    <t>Wydatki na spłatę zobowiązań przejmowanych w związku z likwidacją lub przekształceniem samodzielnego publicznego zakładu opieki zdrowotnej</t>
  </si>
  <si>
    <t>10.4</t>
  </si>
  <si>
    <t>Kwota zobowiązań związku współtworzonego przez jednostkę samorządu terytorialnego przypadających do spłaty w danym roku budżetowym, podlegająca doliczeniu zgodnie z art. 244 ustawy</t>
  </si>
  <si>
    <t>10.5</t>
  </si>
  <si>
    <t>Kwota zobowiązań wynikających z przejęcia przez jednostkę samorządu terytorialnego zobowiązań po likwidowanych i przekształcanych samorządowych osobach prawnych</t>
  </si>
  <si>
    <t>10.6</t>
  </si>
  <si>
    <t>Spłaty, o których mowa w poz. 5.1., wynikające wyłącznie z tytułu zobowiązań już zaciągniętych</t>
  </si>
  <si>
    <t>10.7</t>
  </si>
  <si>
    <t>Wydatki zmniejszające dług, w tym:</t>
  </si>
  <si>
    <t>10.7.1</t>
  </si>
  <si>
    <t>spłata zobowiązań wymagalnych z lat poprzednich, innych niż w poz. 10.7.3</t>
  </si>
  <si>
    <t>10.7.2</t>
  </si>
  <si>
    <t>spłata zobowiązań zaliczanych do tytułu dłużnego – kredyt i pożyczka, w tym:</t>
  </si>
  <si>
    <t>10.7.2.1</t>
  </si>
  <si>
    <t>zobowiązań zaciągniętych po dniu 1 stycznia 2019 r.</t>
  </si>
  <si>
    <t>10.7.2.1.1</t>
  </si>
  <si>
    <t>dokonywana w formie wydatku bieżącego</t>
  </si>
  <si>
    <t>10.7.3</t>
  </si>
  <si>
    <t>wypłaty z tytułu wymagalnych poręczeń i gwarancji</t>
  </si>
  <si>
    <t>10.8</t>
  </si>
  <si>
    <t>Kwota wzrostu(+)/spadku(−) kwoty długu wynikająca z operacji niekasowych (m.in. umorzenia, różnice kursowe)</t>
  </si>
  <si>
    <t>10.9</t>
  </si>
  <si>
    <t>Wcześniejsza spłata zobowiązań, wyłączona z limitu spłaty zobowiązań, dokonywana w formie wydatków budżetowych</t>
  </si>
  <si>
    <t>10.10</t>
  </si>
  <si>
    <t>Wykup papierów wartościowych, spłaty rat kredytów i pożyczek wraz z należnymi odsetkami i dyskontem, odpowiednio emitowanych lub zaciągniętych do równowartości kwoty ubytku w wykonanych dochodach jednostki samorządu terytorialnego będącego skutkiem wystąpienia COVID-19</t>
  </si>
  <si>
    <t>10.11</t>
  </si>
  <si>
    <t>Wydatki bieżące podlegające ustawowemu wyłączeniu z limitu spłaty zobowiązań</t>
  </si>
  <si>
    <t>10.11.x</t>
  </si>
  <si>
    <t>Planowane wydatki bieżące podlegające ustawowemu wyłączeniu z limitu spłaty zobowiązań</t>
  </si>
  <si>
    <t>13</t>
  </si>
  <si>
    <t>Rozliczenie budżetu</t>
  </si>
  <si>
    <t>13z</t>
  </si>
  <si>
    <t>Zdolność inwestycyjna</t>
  </si>
</sst>
</file>

<file path=xl/styles.xml><?xml version="1.0" encoding="utf-8"?>
<styleSheet xmlns="http://schemas.openxmlformats.org/spreadsheetml/2006/main">
  <numFmts count="0"/>
  <fonts count="4">
    <font>
      <sz val="11"/>
      <name val="Calibri"/>
    </font>
    <font>
      <sz val="8"/>
      <name val="Times New Roman"/>
    </font>
    <font>
      <b/>
      <sz val="8"/>
      <name val="Times New Roman"/>
    </font>
    <font>
      <b/>
      <sz val="8"/>
      <color rgb="FFFF0000" tint="0"/>
      <name val="Times New Roman"/>
    </font>
  </fonts>
  <fills count="8">
    <fill>
      <patternFill patternType="none"/>
    </fill>
    <fill>
      <patternFill patternType="gray125"/>
    </fill>
    <fill>
      <patternFill patternType="solid">
        <fgColor rgb="FFC0C0C0" tint="0"/>
      </patternFill>
    </fill>
    <fill>
      <patternFill patternType="solid">
        <fgColor rgb="FFEAEAEA" tint="0"/>
      </patternFill>
    </fill>
    <fill>
      <patternFill patternType="solid">
        <fgColor rgb="FFECEAEC" tint="0"/>
      </patternFill>
    </fill>
    <fill>
      <patternFill patternType="solid">
        <fgColor rgb="FFF4F2FD" tint="0"/>
      </patternFill>
    </fill>
    <fill>
      <patternFill patternType="solid">
        <fgColor rgb="FF99DFCF" tint="0"/>
      </patternFill>
    </fill>
    <fill>
      <patternFill patternType="solid">
        <fgColor rgb="FFE8959B" tint="0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  <diagonal/>
    </border>
  </borders>
  <cellStyleXfs count="1">
    <xf numFmtId="0" fontId="0"/>
  </cellStyleXfs>
  <cellXfs count="26">
    <xf numFmtId="0" fontId="0" xfId="0"/>
    <xf numFmtId="0" fontId="2" fillId="2" borderId="1" xfId="0"/>
    <xf numFmtId="4" fontId="2" fillId="3" borderId="1" xfId="0">
      <alignment horizontal="left" vertical="center"/>
    </xf>
    <xf numFmtId="4" fontId="2" fillId="3" borderId="1" xfId="0">
      <alignment horizontal="left" vertical="center" wrapText="1"/>
    </xf>
    <xf numFmtId="4" fontId="2" fillId="4" borderId="1" xfId="0">
      <alignment horizontal="right" vertical="center"/>
    </xf>
    <xf numFmtId="4" fontId="2" fillId="3" borderId="1" xfId="0">
      <alignment horizontal="right" vertical="center"/>
    </xf>
    <xf numFmtId="4" fontId="1" fillId="3" borderId="1" xfId="0">
      <alignment horizontal="left" vertical="center"/>
    </xf>
    <xf numFmtId="4" fontId="1" fillId="3" borderId="1" xfId="0">
      <alignment horizontal="left" vertical="center" wrapText="1"/>
    </xf>
    <xf numFmtId="4" fontId="1" fillId="5" borderId="1" xfId="0">
      <alignment horizontal="right" vertical="center"/>
    </xf>
    <xf numFmtId="4" fontId="1" borderId="1" xfId="0">
      <alignment horizontal="right" vertical="center"/>
    </xf>
    <xf numFmtId="4" fontId="1" fillId="4" borderId="1" xfId="0">
      <alignment horizontal="right" vertical="center"/>
    </xf>
    <xf numFmtId="4" fontId="1" fillId="3" borderId="1" xfId="0">
      <alignment horizontal="right" vertical="center"/>
    </xf>
    <xf numFmtId="4" fontId="2" fillId="5" borderId="1" xfId="0">
      <alignment horizontal="right" vertical="center"/>
    </xf>
    <xf numFmtId="4" fontId="2" borderId="1" xfId="0">
      <alignment horizontal="right" vertical="center"/>
    </xf>
    <xf numFmtId="10" fontId="1" fillId="3" borderId="1" xfId="0">
      <alignment horizontal="left" vertical="center"/>
    </xf>
    <xf numFmtId="10" fontId="1" fillId="3" borderId="1" xfId="0">
      <alignment horizontal="left" vertical="center" wrapText="1"/>
    </xf>
    <xf numFmtId="10" fontId="1" fillId="4" borderId="1" xfId="0">
      <alignment horizontal="right" vertical="center"/>
    </xf>
    <xf numFmtId="10" fontId="1" fillId="3" borderId="1" xfId="0">
      <alignment horizontal="right" vertical="center"/>
    </xf>
    <xf numFmtId="4" fontId="2" fillId="6" borderId="1" xfId="0">
      <alignment horizontal="center" vertical="center"/>
    </xf>
    <xf numFmtId="4" fontId="2" fillId="7" borderId="1" xfId="0">
      <alignment horizontal="center" vertical="center"/>
    </xf>
    <xf numFmtId="4" fontId="1" fillId="6" borderId="1" xfId="0">
      <alignment horizontal="center" vertical="center"/>
    </xf>
    <xf numFmtId="4" fontId="1" fillId="7" borderId="1" xfId="0">
      <alignment horizontal="center" vertical="center"/>
    </xf>
    <xf numFmtId="4" fontId="3" fillId="3" borderId="1" xfId="0">
      <alignment horizontal="left" vertical="center"/>
    </xf>
    <xf numFmtId="4" fontId="3" fillId="3" borderId="1" xfId="0">
      <alignment horizontal="left" vertical="center" wrapText="1"/>
    </xf>
    <xf numFmtId="4" fontId="3" fillId="4" borderId="1" xfId="0">
      <alignment horizontal="right" vertical="center"/>
    </xf>
    <xf numFmtId="4" fontId="3" fillId="3" borderId="1" xfId="0">
      <alignment horizontal="right" vertical="center"/>
    </xf>
  </cellXfs>
  <cellStyles count="1">
    <cellStyle name="Normal" xfId="0" builtinId="0"/>
  </cellStyles>
  <dxfs count="0">
    <d:dxf xmlns:d="http://schemas.openxmlformats.org/spreadsheetml/2006/main">
      <fill>
        <patternFill patternType="solid">
          <bgColor rgb="ffadff2f"/>
        </patternFill>
      </fill>
    </d:dxf>
    <d:dxf xmlns:d="http://schemas.openxmlformats.org/spreadsheetml/2006/main">
      <fill>
        <patternFill patternType="solid">
          <bgColor rgb="ffcd5c5c"/>
        </patternFill>
      </fill>
    </d:dxf>
  </dxfs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1.xml" Id="R36accde651d04016" /><Relationship Type="http://schemas.openxmlformats.org/officeDocument/2006/relationships/styles" Target="styles.xml" Id="R70d2fc4acea3451c" /><Relationship Type="http://schemas.openxmlformats.org/officeDocument/2006/relationships/sharedStrings" Target="sharedStrings.xml" Id="R16178e64495b449d" 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W102"/>
  <sheetViews>
    <sheetView workbookViewId="0">
      <pane xSplit="2" ySplit="1" topLeftCell="C2" state="frozen" activePane="bottomRight"/>
      <selection pane="topRight" activeCell="C1" sqref="C1"/>
      <selection pane="bottomLeft" activeCell="A2" sqref="A2"/>
      <selection pane="bottomRight" activeCell="A1" sqref="A1"/>
    </sheetView>
  </sheetViews>
  <sheetFormatPr defaultRowHeight="15"/>
  <cols>
    <col min="1" max="1" width="7.14285714285714" customWidth="1"/>
    <col min="2" max="2" width="42.8571428571429" customWidth="1"/>
    <col min="3" max="3" width="14.2857142857143" customWidth="1"/>
    <col min="4" max="4" width="14.2857142857143" customWidth="1"/>
    <col min="5" max="5" width="14.2857142857143" customWidth="1"/>
    <col min="6" max="6" width="14.2857142857143" customWidth="1"/>
    <col min="7" max="7" width="14.2857142857143" customWidth="1"/>
    <col min="8" max="8" width="14.2857142857143" customWidth="1"/>
    <col min="9" max="9" width="14.2857142857143" customWidth="1"/>
    <col min="10" max="10" width="14.2857142857143" customWidth="1"/>
    <col min="11" max="11" width="14.2857142857143" customWidth="1"/>
    <col min="12" max="12" width="14.2857142857143" customWidth="1"/>
    <col min="13" max="13" width="14.2857142857143" customWidth="1"/>
    <col min="14" max="14" width="14.2857142857143" customWidth="1"/>
    <col min="15" max="15" width="14.2857142857143" customWidth="1"/>
    <col min="16" max="16" width="14.2857142857143" customWidth="1"/>
    <col min="17" max="17" width="14.2857142857143" customWidth="1"/>
    <col min="18" max="18" width="14.2857142857143" customWidth="1"/>
    <col min="19" max="19" width="14.2857142857143" customWidth="1"/>
    <col min="20" max="20" width="14.2857142857143" customWidth="1"/>
    <col min="21" max="21" width="14.2857142857143" customWidth="1"/>
    <col min="22" max="22" width="14.2857142857143" customWidth="1"/>
    <col min="23" max="23" width="14.2857142857143" customWidth="1"/>
  </cols>
  <sheetData>
    <row r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</row>
    <row r="2" ht="14.2083320617676" customHeight="1">
      <c r="A2" s="2" t="s">
        <v>23</v>
      </c>
      <c r="B2" s="3" t="s">
        <v>24</v>
      </c>
      <c r="C2" s="4">
        <f>=IF(ISNUMBER(VLOOKUP("1.1",A2:W103,3,FALSE)),ROUND(VLOOKUP("1.1",A2:W103,3,FALSE),4),0) + IF(ISNUMBER(VLOOKUP("1.2",A2:W103,3,FALSE)),ROUND(VLOOKUP("1.2",A2:W103,3,FALSE),4),0)</f>
      </c>
      <c r="D2" s="4">
        <f>=IF(ISNUMBER(VLOOKUP("1.1",A2:W103,4,FALSE)),ROUND(VLOOKUP("1.1",A2:W103,4,FALSE),4),0) + IF(ISNUMBER(VLOOKUP("1.2",A2:W103,4,FALSE)),ROUND(VLOOKUP("1.2",A2:W103,4,FALSE),4),0)</f>
      </c>
      <c r="E2" s="4">
        <f>=IF(ISNUMBER(VLOOKUP("1.1",A2:W103,5,FALSE)),ROUND(VLOOKUP("1.1",A2:W103,5,FALSE),4),0) + IF(ISNUMBER(VLOOKUP("1.2",A2:W103,5,FALSE)),ROUND(VLOOKUP("1.2",A2:W103,5,FALSE),4),0)</f>
      </c>
      <c r="F2" s="4">
        <f>=IF(ISNUMBER(VLOOKUP("1.1",A2:W103,6,FALSE)),ROUND(VLOOKUP("1.1",A2:W103,6,FALSE),4),0) + IF(ISNUMBER(VLOOKUP("1.2",A2:W103,6,FALSE)),ROUND(VLOOKUP("1.2",A2:W103,6,FALSE),4),0)</f>
      </c>
      <c r="G2" s="4">
        <f>=IF(ISNUMBER(VLOOKUP("1.1",A2:W103,7,FALSE)),ROUND(VLOOKUP("1.1",A2:W103,7,FALSE),4),0) + IF(ISNUMBER(VLOOKUP("1.2",A2:W103,7,FALSE)),ROUND(VLOOKUP("1.2",A2:W103,7,FALSE),4),0)</f>
      </c>
      <c r="H2" s="4">
        <f>=IF(ISNUMBER(VLOOKUP("1.1",A2:W103,8,FALSE)),ROUND(VLOOKUP("1.1",A2:W103,8,FALSE),4),0) + IF(ISNUMBER(VLOOKUP("1.2",A2:W103,8,FALSE)),ROUND(VLOOKUP("1.2",A2:W103,8,FALSE),4),0)</f>
      </c>
      <c r="I2" s="4">
        <f>=IF(ISNUMBER(VLOOKUP("1.1",A2:W103,9,FALSE)),ROUND(VLOOKUP("1.1",A2:W103,9,FALSE),4),0) + IF(ISNUMBER(VLOOKUP("1.2",A2:W103,9,FALSE)),ROUND(VLOOKUP("1.2",A2:W103,9,FALSE),4),0)</f>
      </c>
      <c r="J2" s="4">
        <f>=IF(ISNUMBER(VLOOKUP("1.1",A2:W103,10,FALSE)),ROUND(VLOOKUP("1.1",A2:W103,10,FALSE),4),0) + IF(ISNUMBER(VLOOKUP("1.2",A2:W103,10,FALSE)),ROUND(VLOOKUP("1.2",A2:W103,10,FALSE),4),0)</f>
      </c>
      <c r="K2" s="5">
        <f>=IF(ISNUMBER(VLOOKUP("1.1",A2:W103,11,FALSE)),ROUND(VLOOKUP("1.1",A2:W103,11,FALSE),4),0) + IF(ISNUMBER(VLOOKUP("1.2",A2:W103,11,FALSE)),ROUND(VLOOKUP("1.2",A2:W103,11,FALSE),4),0)</f>
      </c>
      <c r="L2" s="5">
        <f>=IF(ISNUMBER(VLOOKUP("1.1",A2:W103,12,FALSE)),ROUND(VLOOKUP("1.1",A2:W103,12,FALSE),4),0) + IF(ISNUMBER(VLOOKUP("1.2",A2:W103,12,FALSE)),ROUND(VLOOKUP("1.2",A2:W103,12,FALSE),4),0)</f>
      </c>
      <c r="M2" s="5">
        <f>=IF(ISNUMBER(VLOOKUP("1.1",A2:W103,13,FALSE)),ROUND(VLOOKUP("1.1",A2:W103,13,FALSE),4),0) + IF(ISNUMBER(VLOOKUP("1.2",A2:W103,13,FALSE)),ROUND(VLOOKUP("1.2",A2:W103,13,FALSE),4),0)</f>
      </c>
      <c r="N2" s="5">
        <f>=IF(ISNUMBER(VLOOKUP("1.1",A2:W103,14,FALSE)),ROUND(VLOOKUP("1.1",A2:W103,14,FALSE),4),0) + IF(ISNUMBER(VLOOKUP("1.2",A2:W103,14,FALSE)),ROUND(VLOOKUP("1.2",A2:W103,14,FALSE),4),0)</f>
      </c>
      <c r="O2" s="5">
        <f>=IF(ISNUMBER(VLOOKUP("1.1",A2:W103,15,FALSE)),ROUND(VLOOKUP("1.1",A2:W103,15,FALSE),4),0) + IF(ISNUMBER(VLOOKUP("1.2",A2:W103,15,FALSE)),ROUND(VLOOKUP("1.2",A2:W103,15,FALSE),4),0)</f>
      </c>
      <c r="P2" s="5">
        <f>=IF(ISNUMBER(VLOOKUP("1.1",A2:W103,16,FALSE)),ROUND(VLOOKUP("1.1",A2:W103,16,FALSE),4),0) + IF(ISNUMBER(VLOOKUP("1.2",A2:W103,16,FALSE)),ROUND(VLOOKUP("1.2",A2:W103,16,FALSE),4),0)</f>
      </c>
      <c r="Q2" s="5">
        <f>=IF(ISNUMBER(VLOOKUP("1.1",A2:W103,17,FALSE)),ROUND(VLOOKUP("1.1",A2:W103,17,FALSE),4),0) + IF(ISNUMBER(VLOOKUP("1.2",A2:W103,17,FALSE)),ROUND(VLOOKUP("1.2",A2:W103,17,FALSE),4),0)</f>
      </c>
      <c r="R2" s="5">
        <f>=IF(ISNUMBER(VLOOKUP("1.1",A2:W103,18,FALSE)),ROUND(VLOOKUP("1.1",A2:W103,18,FALSE),4),0) + IF(ISNUMBER(VLOOKUP("1.2",A2:W103,18,FALSE)),ROUND(VLOOKUP("1.2",A2:W103,18,FALSE),4),0)</f>
      </c>
      <c r="S2" s="5">
        <f>=IF(ISNUMBER(VLOOKUP("1.1",A2:W103,19,FALSE)),ROUND(VLOOKUP("1.1",A2:W103,19,FALSE),4),0) + IF(ISNUMBER(VLOOKUP("1.2",A2:W103,19,FALSE)),ROUND(VLOOKUP("1.2",A2:W103,19,FALSE),4),0)</f>
      </c>
      <c r="T2" s="5">
        <f>=IF(ISNUMBER(VLOOKUP("1.1",A2:W103,20,FALSE)),ROUND(VLOOKUP("1.1",A2:W103,20,FALSE),4),0) + IF(ISNUMBER(VLOOKUP("1.2",A2:W103,20,FALSE)),ROUND(VLOOKUP("1.2",A2:W103,20,FALSE),4),0)</f>
      </c>
      <c r="U2" s="5">
        <f>=IF(ISNUMBER(VLOOKUP("1.1",A2:W103,21,FALSE)),ROUND(VLOOKUP("1.1",A2:W103,21,FALSE),4),0) + IF(ISNUMBER(VLOOKUP("1.2",A2:W103,21,FALSE)),ROUND(VLOOKUP("1.2",A2:W103,21,FALSE),4),0)</f>
      </c>
      <c r="V2" s="5">
        <f>=IF(ISNUMBER(VLOOKUP("1.1",A2:W103,22,FALSE)),ROUND(VLOOKUP("1.1",A2:W103,22,FALSE),4),0) + IF(ISNUMBER(VLOOKUP("1.2",A2:W103,22,FALSE)),ROUND(VLOOKUP("1.2",A2:W103,22,FALSE),4),0)</f>
      </c>
      <c r="W2" s="5">
        <f>=IF(ISNUMBER(VLOOKUP("1.1",A2:W103,23,FALSE)),ROUND(VLOOKUP("1.1",A2:W103,23,FALSE),4),0) + IF(ISNUMBER(VLOOKUP("1.2",A2:W103,23,FALSE)),ROUND(VLOOKUP("1.2",A2:W103,23,FALSE),4),0)</f>
      </c>
    </row>
    <row r="3" ht="14.2083320617676" customHeight="1">
      <c r="A3" s="2" t="s">
        <v>25</v>
      </c>
      <c r="B3" s="3" t="s">
        <v>26</v>
      </c>
      <c r="C3" s="4">
        <f>=IF(ISNUMBER(VLOOKUP("1.1.1",A2:W103,3,FALSE)),ROUND(VLOOKUP("1.1.1",A2:W103,3,FALSE),4),0) + IF(ISNUMBER(VLOOKUP("1.1.2",A2:W103,3,FALSE)),ROUND(VLOOKUP("1.1.2",A2:W103,3,FALSE),4),0) + IF(ISNUMBER(VLOOKUP("1.1.3",A2:W103,3,FALSE)),ROUND(VLOOKUP("1.1.3",A2:W103,3,FALSE),4),0) + IF(ISNUMBER(VLOOKUP("1.1.4",A2:W103,3,FALSE)),ROUND(VLOOKUP("1.1.4",A2:W103,3,FALSE),4),0) + IF(ISNUMBER(VLOOKUP("1.1.5",A2:W103,3,FALSE)),ROUND(VLOOKUP("1.1.5",A2:W103,3,FALSE),4),0) + IF(ISNA(VLOOKUP("1.1.x",A2:W103,3,FALSE)),0,ROUND(VLOOKUP("1.1.x",A2:W103,3,FALSE),4))</f>
      </c>
      <c r="D3" s="4">
        <f>=IF(ISNUMBER(VLOOKUP("1.1.1",A2:W103,4,FALSE)),ROUND(VLOOKUP("1.1.1",A2:W103,4,FALSE),4),0) + IF(ISNUMBER(VLOOKUP("1.1.2",A2:W103,4,FALSE)),ROUND(VLOOKUP("1.1.2",A2:W103,4,FALSE),4),0) + IF(ISNUMBER(VLOOKUP("1.1.3",A2:W103,4,FALSE)),ROUND(VLOOKUP("1.1.3",A2:W103,4,FALSE),4),0) + IF(ISNUMBER(VLOOKUP("1.1.4",A2:W103,4,FALSE)),ROUND(VLOOKUP("1.1.4",A2:W103,4,FALSE),4),0) + IF(ISNUMBER(VLOOKUP("1.1.5",A2:W103,4,FALSE)),ROUND(VLOOKUP("1.1.5",A2:W103,4,FALSE),4),0) + IF(ISNA(VLOOKUP("1.1.x",A2:W103,4,FALSE)),0,ROUND(VLOOKUP("1.1.x",A2:W103,4,FALSE),4))</f>
      </c>
      <c r="E3" s="4">
        <f>=IF(ISNUMBER(VLOOKUP("1.1.1",A2:W103,5,FALSE)),ROUND(VLOOKUP("1.1.1",A2:W103,5,FALSE),4),0) + IF(ISNUMBER(VLOOKUP("1.1.2",A2:W103,5,FALSE)),ROUND(VLOOKUP("1.1.2",A2:W103,5,FALSE),4),0) + IF(ISNUMBER(VLOOKUP("1.1.3",A2:W103,5,FALSE)),ROUND(VLOOKUP("1.1.3",A2:W103,5,FALSE),4),0) + IF(ISNUMBER(VLOOKUP("1.1.4",A2:W103,5,FALSE)),ROUND(VLOOKUP("1.1.4",A2:W103,5,FALSE),4),0) + IF(ISNUMBER(VLOOKUP("1.1.5",A2:W103,5,FALSE)),ROUND(VLOOKUP("1.1.5",A2:W103,5,FALSE),4),0) + IF(ISNA(VLOOKUP("1.1.x",A2:W103,5,FALSE)),0,ROUND(VLOOKUP("1.1.x",A2:W103,5,FALSE),4))</f>
      </c>
      <c r="F3" s="4">
        <f>=IF(ISNUMBER(VLOOKUP("1.1.1",A2:W103,6,FALSE)),ROUND(VLOOKUP("1.1.1",A2:W103,6,FALSE),4),0) + IF(ISNUMBER(VLOOKUP("1.1.2",A2:W103,6,FALSE)),ROUND(VLOOKUP("1.1.2",A2:W103,6,FALSE),4),0) + IF(ISNUMBER(VLOOKUP("1.1.3",A2:W103,6,FALSE)),ROUND(VLOOKUP("1.1.3",A2:W103,6,FALSE),4),0) + IF(ISNUMBER(VLOOKUP("1.1.4",A2:W103,6,FALSE)),ROUND(VLOOKUP("1.1.4",A2:W103,6,FALSE),4),0) + IF(ISNUMBER(VLOOKUP("1.1.5",A2:W103,6,FALSE)),ROUND(VLOOKUP("1.1.5",A2:W103,6,FALSE),4),0) + IF(ISNA(VLOOKUP("1.1.x",A2:W103,6,FALSE)),0,ROUND(VLOOKUP("1.1.x",A2:W103,6,FALSE),4))</f>
      </c>
      <c r="G3" s="4">
        <f>=IF(ISNUMBER(VLOOKUP("1.1.1",A2:W103,7,FALSE)),ROUND(VLOOKUP("1.1.1",A2:W103,7,FALSE),4),0) + IF(ISNUMBER(VLOOKUP("1.1.2",A2:W103,7,FALSE)),ROUND(VLOOKUP("1.1.2",A2:W103,7,FALSE),4),0) + IF(ISNUMBER(VLOOKUP("1.1.3",A2:W103,7,FALSE)),ROUND(VLOOKUP("1.1.3",A2:W103,7,FALSE),4),0) + IF(ISNUMBER(VLOOKUP("1.1.4",A2:W103,7,FALSE)),ROUND(VLOOKUP("1.1.4",A2:W103,7,FALSE),4),0) + IF(ISNUMBER(VLOOKUP("1.1.5",A2:W103,7,FALSE)),ROUND(VLOOKUP("1.1.5",A2:W103,7,FALSE),4),0) + IF(ISNA(VLOOKUP("1.1.x",A2:W103,7,FALSE)),0,ROUND(VLOOKUP("1.1.x",A2:W103,7,FALSE),4))</f>
      </c>
      <c r="H3" s="4">
        <f>=IF(ISNUMBER(VLOOKUP("1.1.1",A2:W103,8,FALSE)),ROUND(VLOOKUP("1.1.1",A2:W103,8,FALSE),4),0) + IF(ISNUMBER(VLOOKUP("1.1.2",A2:W103,8,FALSE)),ROUND(VLOOKUP("1.1.2",A2:W103,8,FALSE),4),0) + IF(ISNUMBER(VLOOKUP("1.1.3",A2:W103,8,FALSE)),ROUND(VLOOKUP("1.1.3",A2:W103,8,FALSE),4),0) + IF(ISNUMBER(VLOOKUP("1.1.4",A2:W103,8,FALSE)),ROUND(VLOOKUP("1.1.4",A2:W103,8,FALSE),4),0) + IF(ISNUMBER(VLOOKUP("1.1.5",A2:W103,8,FALSE)),ROUND(VLOOKUP("1.1.5",A2:W103,8,FALSE),4),0) + IF(ISNA(VLOOKUP("1.1.x",A2:W103,8,FALSE)),0,ROUND(VLOOKUP("1.1.x",A2:W103,8,FALSE),4))</f>
      </c>
      <c r="I3" s="4">
        <f>=IF(ISNUMBER(VLOOKUP("1.1.1",A2:W103,9,FALSE)),ROUND(VLOOKUP("1.1.1",A2:W103,9,FALSE),4),0) + IF(ISNUMBER(VLOOKUP("1.1.2",A2:W103,9,FALSE)),ROUND(VLOOKUP("1.1.2",A2:W103,9,FALSE),4),0) + IF(ISNUMBER(VLOOKUP("1.1.3",A2:W103,9,FALSE)),ROUND(VLOOKUP("1.1.3",A2:W103,9,FALSE),4),0) + IF(ISNUMBER(VLOOKUP("1.1.4",A2:W103,9,FALSE)),ROUND(VLOOKUP("1.1.4",A2:W103,9,FALSE),4),0) + IF(ISNUMBER(VLOOKUP("1.1.5",A2:W103,9,FALSE)),ROUND(VLOOKUP("1.1.5",A2:W103,9,FALSE),4),0) + IF(ISNA(VLOOKUP("1.1.x",A2:W103,9,FALSE)),0,ROUND(VLOOKUP("1.1.x",A2:W103,9,FALSE),4))</f>
      </c>
      <c r="J3" s="4">
        <f>=IF(ISNUMBER(VLOOKUP("1.1.1",A2:W103,10,FALSE)),ROUND(VLOOKUP("1.1.1",A2:W103,10,FALSE),4),0) + IF(ISNUMBER(VLOOKUP("1.1.2",A2:W103,10,FALSE)),ROUND(VLOOKUP("1.1.2",A2:W103,10,FALSE),4),0) + IF(ISNUMBER(VLOOKUP("1.1.3",A2:W103,10,FALSE)),ROUND(VLOOKUP("1.1.3",A2:W103,10,FALSE),4),0) + IF(ISNUMBER(VLOOKUP("1.1.4",A2:W103,10,FALSE)),ROUND(VLOOKUP("1.1.4",A2:W103,10,FALSE),4),0) + IF(ISNUMBER(VLOOKUP("1.1.5",A2:W103,10,FALSE)),ROUND(VLOOKUP("1.1.5",A2:W103,10,FALSE),4),0) + IF(ISNA(VLOOKUP("1.1.x",A2:W103,10,FALSE)),0,ROUND(VLOOKUP("1.1.x",A2:W103,10,FALSE),4))</f>
      </c>
      <c r="K3" s="5">
        <f>=IF(ISNUMBER(VLOOKUP("1.1.1",A2:W103,11,FALSE)),ROUND(VLOOKUP("1.1.1",A2:W103,11,FALSE),4),0) + IF(ISNUMBER(VLOOKUP("1.1.2",A2:W103,11,FALSE)),ROUND(VLOOKUP("1.1.2",A2:W103,11,FALSE),4),0) + IF(ISNUMBER(VLOOKUP("1.1.3",A2:W103,11,FALSE)),ROUND(VLOOKUP("1.1.3",A2:W103,11,FALSE),4),0) + IF(ISNUMBER(VLOOKUP("1.1.4",A2:W103,11,FALSE)),ROUND(VLOOKUP("1.1.4",A2:W103,11,FALSE),4),0) + IF(ISNUMBER(VLOOKUP("1.1.5",A2:W103,11,FALSE)),ROUND(VLOOKUP("1.1.5",A2:W103,11,FALSE),4),0) + IF(ISNA(VLOOKUP("1.1.x",A2:W103,11,FALSE)),0,ROUND(VLOOKUP("1.1.x",A2:W103,11,FALSE),4))</f>
      </c>
      <c r="L3" s="5">
        <f>=IF(ISNUMBER(VLOOKUP("1.1.1",A2:W103,12,FALSE)),ROUND(VLOOKUP("1.1.1",A2:W103,12,FALSE),4),0) + IF(ISNUMBER(VLOOKUP("1.1.2",A2:W103,12,FALSE)),ROUND(VLOOKUP("1.1.2",A2:W103,12,FALSE),4),0) + IF(ISNUMBER(VLOOKUP("1.1.3",A2:W103,12,FALSE)),ROUND(VLOOKUP("1.1.3",A2:W103,12,FALSE),4),0) + IF(ISNUMBER(VLOOKUP("1.1.4",A2:W103,12,FALSE)),ROUND(VLOOKUP("1.1.4",A2:W103,12,FALSE),4),0) + IF(ISNUMBER(VLOOKUP("1.1.5",A2:W103,12,FALSE)),ROUND(VLOOKUP("1.1.5",A2:W103,12,FALSE),4),0) + IF(ISNA(VLOOKUP("1.1.x",A2:W103,12,FALSE)),0,ROUND(VLOOKUP("1.1.x",A2:W103,12,FALSE),4))</f>
      </c>
      <c r="M3" s="5">
        <f>=IF(ISNUMBER(VLOOKUP("1.1.1",A2:W103,13,FALSE)),ROUND(VLOOKUP("1.1.1",A2:W103,13,FALSE),4),0) + IF(ISNUMBER(VLOOKUP("1.1.2",A2:W103,13,FALSE)),ROUND(VLOOKUP("1.1.2",A2:W103,13,FALSE),4),0) + IF(ISNUMBER(VLOOKUP("1.1.3",A2:W103,13,FALSE)),ROUND(VLOOKUP("1.1.3",A2:W103,13,FALSE),4),0) + IF(ISNUMBER(VLOOKUP("1.1.4",A2:W103,13,FALSE)),ROUND(VLOOKUP("1.1.4",A2:W103,13,FALSE),4),0) + IF(ISNUMBER(VLOOKUP("1.1.5",A2:W103,13,FALSE)),ROUND(VLOOKUP("1.1.5",A2:W103,13,FALSE),4),0) + IF(ISNA(VLOOKUP("1.1.x",A2:W103,13,FALSE)),0,ROUND(VLOOKUP("1.1.x",A2:W103,13,FALSE),4))</f>
      </c>
      <c r="N3" s="5">
        <f>=IF(ISNUMBER(VLOOKUP("1.1.1",A2:W103,14,FALSE)),ROUND(VLOOKUP("1.1.1",A2:W103,14,FALSE),4),0) + IF(ISNUMBER(VLOOKUP("1.1.2",A2:W103,14,FALSE)),ROUND(VLOOKUP("1.1.2",A2:W103,14,FALSE),4),0) + IF(ISNUMBER(VLOOKUP("1.1.3",A2:W103,14,FALSE)),ROUND(VLOOKUP("1.1.3",A2:W103,14,FALSE),4),0) + IF(ISNUMBER(VLOOKUP("1.1.4",A2:W103,14,FALSE)),ROUND(VLOOKUP("1.1.4",A2:W103,14,FALSE),4),0) + IF(ISNUMBER(VLOOKUP("1.1.5",A2:W103,14,FALSE)),ROUND(VLOOKUP("1.1.5",A2:W103,14,FALSE),4),0) + IF(ISNA(VLOOKUP("1.1.x",A2:W103,14,FALSE)),0,ROUND(VLOOKUP("1.1.x",A2:W103,14,FALSE),4))</f>
      </c>
      <c r="O3" s="5">
        <f>=IF(ISNUMBER(VLOOKUP("1.1.1",A2:W103,15,FALSE)),ROUND(VLOOKUP("1.1.1",A2:W103,15,FALSE),4),0) + IF(ISNUMBER(VLOOKUP("1.1.2",A2:W103,15,FALSE)),ROUND(VLOOKUP("1.1.2",A2:W103,15,FALSE),4),0) + IF(ISNUMBER(VLOOKUP("1.1.3",A2:W103,15,FALSE)),ROUND(VLOOKUP("1.1.3",A2:W103,15,FALSE),4),0) + IF(ISNUMBER(VLOOKUP("1.1.4",A2:W103,15,FALSE)),ROUND(VLOOKUP("1.1.4",A2:W103,15,FALSE),4),0) + IF(ISNUMBER(VLOOKUP("1.1.5",A2:W103,15,FALSE)),ROUND(VLOOKUP("1.1.5",A2:W103,15,FALSE),4),0) + IF(ISNA(VLOOKUP("1.1.x",A2:W103,15,FALSE)),0,ROUND(VLOOKUP("1.1.x",A2:W103,15,FALSE),4))</f>
      </c>
      <c r="P3" s="5">
        <f>=IF(ISNUMBER(VLOOKUP("1.1.1",A2:W103,16,FALSE)),ROUND(VLOOKUP("1.1.1",A2:W103,16,FALSE),4),0) + IF(ISNUMBER(VLOOKUP("1.1.2",A2:W103,16,FALSE)),ROUND(VLOOKUP("1.1.2",A2:W103,16,FALSE),4),0) + IF(ISNUMBER(VLOOKUP("1.1.3",A2:W103,16,FALSE)),ROUND(VLOOKUP("1.1.3",A2:W103,16,FALSE),4),0) + IF(ISNUMBER(VLOOKUP("1.1.4",A2:W103,16,FALSE)),ROUND(VLOOKUP("1.1.4",A2:W103,16,FALSE),4),0) + IF(ISNUMBER(VLOOKUP("1.1.5",A2:W103,16,FALSE)),ROUND(VLOOKUP("1.1.5",A2:W103,16,FALSE),4),0) + IF(ISNA(VLOOKUP("1.1.x",A2:W103,16,FALSE)),0,ROUND(VLOOKUP("1.1.x",A2:W103,16,FALSE),4))</f>
      </c>
      <c r="Q3" s="5">
        <f>=IF(ISNUMBER(VLOOKUP("1.1.1",A2:W103,17,FALSE)),ROUND(VLOOKUP("1.1.1",A2:W103,17,FALSE),4),0) + IF(ISNUMBER(VLOOKUP("1.1.2",A2:W103,17,FALSE)),ROUND(VLOOKUP("1.1.2",A2:W103,17,FALSE),4),0) + IF(ISNUMBER(VLOOKUP("1.1.3",A2:W103,17,FALSE)),ROUND(VLOOKUP("1.1.3",A2:W103,17,FALSE),4),0) + IF(ISNUMBER(VLOOKUP("1.1.4",A2:W103,17,FALSE)),ROUND(VLOOKUP("1.1.4",A2:W103,17,FALSE),4),0) + IF(ISNUMBER(VLOOKUP("1.1.5",A2:W103,17,FALSE)),ROUND(VLOOKUP("1.1.5",A2:W103,17,FALSE),4),0) + IF(ISNA(VLOOKUP("1.1.x",A2:W103,17,FALSE)),0,ROUND(VLOOKUP("1.1.x",A2:W103,17,FALSE),4))</f>
      </c>
      <c r="R3" s="5">
        <f>=IF(ISNUMBER(VLOOKUP("1.1.1",A2:W103,18,FALSE)),ROUND(VLOOKUP("1.1.1",A2:W103,18,FALSE),4),0) + IF(ISNUMBER(VLOOKUP("1.1.2",A2:W103,18,FALSE)),ROUND(VLOOKUP("1.1.2",A2:W103,18,FALSE),4),0) + IF(ISNUMBER(VLOOKUP("1.1.3",A2:W103,18,FALSE)),ROUND(VLOOKUP("1.1.3",A2:W103,18,FALSE),4),0) + IF(ISNUMBER(VLOOKUP("1.1.4",A2:W103,18,FALSE)),ROUND(VLOOKUP("1.1.4",A2:W103,18,FALSE),4),0) + IF(ISNUMBER(VLOOKUP("1.1.5",A2:W103,18,FALSE)),ROUND(VLOOKUP("1.1.5",A2:W103,18,FALSE),4),0) + IF(ISNA(VLOOKUP("1.1.x",A2:W103,18,FALSE)),0,ROUND(VLOOKUP("1.1.x",A2:W103,18,FALSE),4))</f>
      </c>
      <c r="S3" s="5">
        <f>=IF(ISNUMBER(VLOOKUP("1.1.1",A2:W103,19,FALSE)),ROUND(VLOOKUP("1.1.1",A2:W103,19,FALSE),4),0) + IF(ISNUMBER(VLOOKUP("1.1.2",A2:W103,19,FALSE)),ROUND(VLOOKUP("1.1.2",A2:W103,19,FALSE),4),0) + IF(ISNUMBER(VLOOKUP("1.1.3",A2:W103,19,FALSE)),ROUND(VLOOKUP("1.1.3",A2:W103,19,FALSE),4),0) + IF(ISNUMBER(VLOOKUP("1.1.4",A2:W103,19,FALSE)),ROUND(VLOOKUP("1.1.4",A2:W103,19,FALSE),4),0) + IF(ISNUMBER(VLOOKUP("1.1.5",A2:W103,19,FALSE)),ROUND(VLOOKUP("1.1.5",A2:W103,19,FALSE),4),0) + IF(ISNA(VLOOKUP("1.1.x",A2:W103,19,FALSE)),0,ROUND(VLOOKUP("1.1.x",A2:W103,19,FALSE),4))</f>
      </c>
      <c r="T3" s="5">
        <f>=IF(ISNUMBER(VLOOKUP("1.1.1",A2:W103,20,FALSE)),ROUND(VLOOKUP("1.1.1",A2:W103,20,FALSE),4),0) + IF(ISNUMBER(VLOOKUP("1.1.2",A2:W103,20,FALSE)),ROUND(VLOOKUP("1.1.2",A2:W103,20,FALSE),4),0) + IF(ISNUMBER(VLOOKUP("1.1.3",A2:W103,20,FALSE)),ROUND(VLOOKUP("1.1.3",A2:W103,20,FALSE),4),0) + IF(ISNUMBER(VLOOKUP("1.1.4",A2:W103,20,FALSE)),ROUND(VLOOKUP("1.1.4",A2:W103,20,FALSE),4),0) + IF(ISNUMBER(VLOOKUP("1.1.5",A2:W103,20,FALSE)),ROUND(VLOOKUP("1.1.5",A2:W103,20,FALSE),4),0) + IF(ISNA(VLOOKUP("1.1.x",A2:W103,20,FALSE)),0,ROUND(VLOOKUP("1.1.x",A2:W103,20,FALSE),4))</f>
      </c>
      <c r="U3" s="5">
        <f>=IF(ISNUMBER(VLOOKUP("1.1.1",A2:W103,21,FALSE)),ROUND(VLOOKUP("1.1.1",A2:W103,21,FALSE),4),0) + IF(ISNUMBER(VLOOKUP("1.1.2",A2:W103,21,FALSE)),ROUND(VLOOKUP("1.1.2",A2:W103,21,FALSE),4),0) + IF(ISNUMBER(VLOOKUP("1.1.3",A2:W103,21,FALSE)),ROUND(VLOOKUP("1.1.3",A2:W103,21,FALSE),4),0) + IF(ISNUMBER(VLOOKUP("1.1.4",A2:W103,21,FALSE)),ROUND(VLOOKUP("1.1.4",A2:W103,21,FALSE),4),0) + IF(ISNUMBER(VLOOKUP("1.1.5",A2:W103,21,FALSE)),ROUND(VLOOKUP("1.1.5",A2:W103,21,FALSE),4),0) + IF(ISNA(VLOOKUP("1.1.x",A2:W103,21,FALSE)),0,ROUND(VLOOKUP("1.1.x",A2:W103,21,FALSE),4))</f>
      </c>
      <c r="V3" s="5">
        <f>=IF(ISNUMBER(VLOOKUP("1.1.1",A2:W103,22,FALSE)),ROUND(VLOOKUP("1.1.1",A2:W103,22,FALSE),4),0) + IF(ISNUMBER(VLOOKUP("1.1.2",A2:W103,22,FALSE)),ROUND(VLOOKUP("1.1.2",A2:W103,22,FALSE),4),0) + IF(ISNUMBER(VLOOKUP("1.1.3",A2:W103,22,FALSE)),ROUND(VLOOKUP("1.1.3",A2:W103,22,FALSE),4),0) + IF(ISNUMBER(VLOOKUP("1.1.4",A2:W103,22,FALSE)),ROUND(VLOOKUP("1.1.4",A2:W103,22,FALSE),4),0) + IF(ISNUMBER(VLOOKUP("1.1.5",A2:W103,22,FALSE)),ROUND(VLOOKUP("1.1.5",A2:W103,22,FALSE),4),0) + IF(ISNA(VLOOKUP("1.1.x",A2:W103,22,FALSE)),0,ROUND(VLOOKUP("1.1.x",A2:W103,22,FALSE),4))</f>
      </c>
      <c r="W3" s="5">
        <f>=IF(ISNUMBER(VLOOKUP("1.1.1",A2:W103,23,FALSE)),ROUND(VLOOKUP("1.1.1",A2:W103,23,FALSE),4),0) + IF(ISNUMBER(VLOOKUP("1.1.2",A2:W103,23,FALSE)),ROUND(VLOOKUP("1.1.2",A2:W103,23,FALSE),4),0) + IF(ISNUMBER(VLOOKUP("1.1.3",A2:W103,23,FALSE)),ROUND(VLOOKUP("1.1.3",A2:W103,23,FALSE),4),0) + IF(ISNUMBER(VLOOKUP("1.1.4",A2:W103,23,FALSE)),ROUND(VLOOKUP("1.1.4",A2:W103,23,FALSE),4),0) + IF(ISNUMBER(VLOOKUP("1.1.5",A2:W103,23,FALSE)),ROUND(VLOOKUP("1.1.5",A2:W103,23,FALSE),4),0) + IF(ISNA(VLOOKUP("1.1.x",A2:W103,23,FALSE)),0,ROUND(VLOOKUP("1.1.x",A2:W103,23,FALSE),4))</f>
      </c>
    </row>
    <row r="4" ht="27.0833320617676" customHeight="1">
      <c r="A4" s="6" t="s">
        <v>27</v>
      </c>
      <c r="B4" s="7" t="s">
        <v>28</v>
      </c>
      <c r="C4" s="8">
        <v>2986453</v>
      </c>
      <c r="D4" s="8">
        <v>3495664</v>
      </c>
      <c r="E4" s="8">
        <v>3832054</v>
      </c>
      <c r="F4" s="8">
        <v>3891368</v>
      </c>
      <c r="G4" s="8">
        <v>4516505</v>
      </c>
      <c r="H4" s="8">
        <v>6680011.57</v>
      </c>
      <c r="I4" s="8">
        <v>3602212</v>
      </c>
      <c r="J4" s="8">
        <v>3602212</v>
      </c>
      <c r="K4" s="9">
        <v>4564721</v>
      </c>
      <c r="L4" s="9">
        <v>16571241</v>
      </c>
      <c r="M4" s="9">
        <v>17151234</v>
      </c>
      <c r="N4" s="9">
        <v>17682922</v>
      </c>
      <c r="O4" s="9">
        <v>18178044</v>
      </c>
      <c r="P4" s="9">
        <v>18687029</v>
      </c>
      <c r="Q4" s="9">
        <v>19154205</v>
      </c>
      <c r="R4" s="9">
        <v>19613906</v>
      </c>
      <c r="S4" s="9">
        <v>20025798</v>
      </c>
      <c r="T4" s="9">
        <v>20426314</v>
      </c>
      <c r="U4" s="9">
        <v>20834840</v>
      </c>
      <c r="V4" s="9">
        <v>21230702</v>
      </c>
      <c r="W4" s="9">
        <v>21612855</v>
      </c>
    </row>
    <row r="5" ht="27.0833320617676" customHeight="1">
      <c r="A5" s="6" t="s">
        <v>29</v>
      </c>
      <c r="B5" s="7" t="s">
        <v>30</v>
      </c>
      <c r="C5" s="8">
        <v>22086.96</v>
      </c>
      <c r="D5" s="8">
        <v>32075.07</v>
      </c>
      <c r="E5" s="8">
        <v>41388.23</v>
      </c>
      <c r="F5" s="8">
        <v>73625.03</v>
      </c>
      <c r="G5" s="8">
        <v>48703.45</v>
      </c>
      <c r="H5" s="8">
        <v>76510</v>
      </c>
      <c r="I5" s="8">
        <v>111393</v>
      </c>
      <c r="J5" s="8">
        <v>111393</v>
      </c>
      <c r="K5" s="9">
        <v>121139</v>
      </c>
      <c r="L5" s="9">
        <v>43481</v>
      </c>
      <c r="M5" s="9">
        <v>45003</v>
      </c>
      <c r="N5" s="9">
        <v>46398</v>
      </c>
      <c r="O5" s="9">
        <v>47697</v>
      </c>
      <c r="P5" s="9">
        <v>49033</v>
      </c>
      <c r="Q5" s="9">
        <v>50259</v>
      </c>
      <c r="R5" s="9">
        <v>51465</v>
      </c>
      <c r="S5" s="9">
        <v>52546</v>
      </c>
      <c r="T5" s="9">
        <v>53597</v>
      </c>
      <c r="U5" s="9">
        <v>54669</v>
      </c>
      <c r="V5" s="9">
        <v>55708</v>
      </c>
      <c r="W5" s="9">
        <v>56711</v>
      </c>
    </row>
    <row r="6" ht="14.2083320617676" customHeight="1">
      <c r="A6" s="6" t="s">
        <v>31</v>
      </c>
      <c r="B6" s="7" t="s">
        <v>32</v>
      </c>
      <c r="C6" s="8">
        <v>11245937</v>
      </c>
      <c r="D6" s="8">
        <v>11872907</v>
      </c>
      <c r="E6" s="8">
        <v>12639079</v>
      </c>
      <c r="F6" s="8">
        <v>12999768</v>
      </c>
      <c r="G6" s="8">
        <v>14745242</v>
      </c>
      <c r="H6" s="8">
        <v>13996175</v>
      </c>
      <c r="I6" s="8">
        <v>16177329</v>
      </c>
      <c r="J6" s="8">
        <v>16587738.25</v>
      </c>
      <c r="K6" s="9">
        <v>20727315</v>
      </c>
      <c r="L6" s="9">
        <v>15741906</v>
      </c>
      <c r="M6" s="9">
        <v>16292873</v>
      </c>
      <c r="N6" s="9">
        <v>16797952</v>
      </c>
      <c r="O6" s="9">
        <v>17268295</v>
      </c>
      <c r="P6" s="9">
        <v>17751807</v>
      </c>
      <c r="Q6" s="9">
        <v>18195602</v>
      </c>
      <c r="R6" s="9">
        <v>18632296</v>
      </c>
      <c r="S6" s="9">
        <v>19023574</v>
      </c>
      <c r="T6" s="9">
        <v>19404045</v>
      </c>
      <c r="U6" s="9">
        <v>19792126</v>
      </c>
      <c r="V6" s="9">
        <v>20168176</v>
      </c>
      <c r="W6" s="9">
        <v>20531203</v>
      </c>
    </row>
    <row r="7" ht="14.2083320617676" customHeight="1">
      <c r="A7" s="6" t="s">
        <v>33</v>
      </c>
      <c r="B7" s="7" t="s">
        <v>34</v>
      </c>
      <c r="C7" s="8">
        <v>11250407.2</v>
      </c>
      <c r="D7" s="8">
        <v>10454161.07</v>
      </c>
      <c r="E7" s="8">
        <v>11310143.1</v>
      </c>
      <c r="F7" s="8">
        <v>13344248.16</v>
      </c>
      <c r="G7" s="8">
        <v>12661341.2</v>
      </c>
      <c r="H7" s="8">
        <v>17066133.41</v>
      </c>
      <c r="I7" s="8">
        <v>7964227.97</v>
      </c>
      <c r="J7" s="8">
        <v>8940222.45</v>
      </c>
      <c r="K7" s="9">
        <v>11054034.59</v>
      </c>
      <c r="L7" s="9">
        <v>9944408</v>
      </c>
      <c r="M7" s="9">
        <v>10292462</v>
      </c>
      <c r="N7" s="9">
        <v>10611528</v>
      </c>
      <c r="O7" s="9">
        <v>10908651</v>
      </c>
      <c r="P7" s="9">
        <v>11214093</v>
      </c>
      <c r="Q7" s="9">
        <v>11494445</v>
      </c>
      <c r="R7" s="9">
        <v>11770312</v>
      </c>
      <c r="S7" s="9">
        <v>12017489</v>
      </c>
      <c r="T7" s="9">
        <v>12257839</v>
      </c>
      <c r="U7" s="9">
        <v>12502996</v>
      </c>
      <c r="V7" s="9">
        <v>12740553</v>
      </c>
      <c r="W7" s="9">
        <v>12969883</v>
      </c>
    </row>
    <row r="8" ht="14.2083320617676" customHeight="1">
      <c r="A8" s="6" t="s">
        <v>35</v>
      </c>
      <c r="B8" s="7" t="s">
        <v>36</v>
      </c>
      <c r="C8" s="8">
        <v>6603859.55</v>
      </c>
      <c r="D8" s="8">
        <v>7112963.07</v>
      </c>
      <c r="E8" s="8">
        <v>8357701.51</v>
      </c>
      <c r="F8" s="8">
        <v>8679263.49</v>
      </c>
      <c r="G8" s="8">
        <v>10471785.81</v>
      </c>
      <c r="H8" s="8">
        <v>11241255.3</v>
      </c>
      <c r="I8" s="8">
        <v>13500196.2</v>
      </c>
      <c r="J8" s="8">
        <v>11025208.08</v>
      </c>
      <c r="K8" s="9">
        <v>14206499.59</v>
      </c>
      <c r="L8" s="9">
        <v>14416645</v>
      </c>
      <c r="M8" s="9">
        <v>14921228</v>
      </c>
      <c r="N8" s="9">
        <v>15383786</v>
      </c>
      <c r="O8" s="9">
        <v>15814532</v>
      </c>
      <c r="P8" s="9">
        <v>16257339</v>
      </c>
      <c r="Q8" s="9">
        <v>16663772</v>
      </c>
      <c r="R8" s="9">
        <v>17063703</v>
      </c>
      <c r="S8" s="9">
        <v>17422041</v>
      </c>
      <c r="T8" s="9">
        <v>17770482</v>
      </c>
      <c r="U8" s="9">
        <v>18125892</v>
      </c>
      <c r="V8" s="9">
        <v>18470284</v>
      </c>
      <c r="W8" s="9">
        <v>18802749</v>
      </c>
    </row>
    <row r="9" ht="14.2083320617676" customHeight="1">
      <c r="A9" s="6" t="s">
        <v>37</v>
      </c>
      <c r="B9" s="7" t="s">
        <v>38</v>
      </c>
      <c r="C9" s="8">
        <v>2350992.43</v>
      </c>
      <c r="D9" s="8">
        <v>2547104.56</v>
      </c>
      <c r="E9" s="8">
        <v>2929146.03</v>
      </c>
      <c r="F9" s="8">
        <v>3217046.31</v>
      </c>
      <c r="G9" s="8">
        <v>4104177.69</v>
      </c>
      <c r="H9" s="8">
        <v>3511677</v>
      </c>
      <c r="I9" s="8">
        <v>4876448</v>
      </c>
      <c r="J9" s="8">
        <v>3534389.98</v>
      </c>
      <c r="K9" s="9">
        <v>5000000</v>
      </c>
      <c r="L9" s="9">
        <v>5369000</v>
      </c>
      <c r="M9" s="9">
        <v>5535439</v>
      </c>
      <c r="N9" s="9">
        <v>5673825</v>
      </c>
      <c r="O9" s="9">
        <v>5832692</v>
      </c>
      <c r="P9" s="9">
        <v>5984342</v>
      </c>
      <c r="Q9" s="9">
        <v>6133951</v>
      </c>
      <c r="R9" s="9">
        <v>6281166</v>
      </c>
      <c r="S9" s="9">
        <v>6425633</v>
      </c>
      <c r="T9" s="9">
        <v>6573423</v>
      </c>
      <c r="U9" s="9">
        <v>6724612</v>
      </c>
      <c r="V9" s="9">
        <v>6879278</v>
      </c>
      <c r="W9" s="9">
        <v>7030622</v>
      </c>
    </row>
    <row r="10" ht="0" hidden="1">
      <c r="A10" s="6" t="s">
        <v>39</v>
      </c>
      <c r="B10" s="7" t="s">
        <v>40</v>
      </c>
      <c r="C10" s="8">
        <v>0</v>
      </c>
      <c r="D10" s="8">
        <v>0</v>
      </c>
      <c r="E10" s="8">
        <v>0</v>
      </c>
      <c r="F10" s="8">
        <v>0</v>
      </c>
      <c r="G10" s="8">
        <v>0</v>
      </c>
      <c r="H10" s="8">
        <v>0</v>
      </c>
      <c r="I10" s="8">
        <v>0</v>
      </c>
      <c r="J10" s="8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9">
        <v>0</v>
      </c>
      <c r="Q10" s="9">
        <v>0</v>
      </c>
      <c r="R10" s="9">
        <v>0</v>
      </c>
      <c r="S10" s="9">
        <v>0</v>
      </c>
      <c r="T10" s="9">
        <v>0</v>
      </c>
      <c r="U10" s="9">
        <v>0</v>
      </c>
      <c r="V10" s="9">
        <v>0</v>
      </c>
      <c r="W10" s="9">
        <v>0</v>
      </c>
    </row>
    <row r="11" ht="14.2083320617676" customHeight="1">
      <c r="A11" s="2" t="s">
        <v>41</v>
      </c>
      <c r="B11" s="3" t="s">
        <v>42</v>
      </c>
      <c r="C11" s="4">
        <f>=IF(ISNUMBER(VLOOKUP("1.2.1",A2:W103,3,FALSE)),ROUND(VLOOKUP("1.2.1",A2:W103,3,FALSE),4),0) + IF(ISNUMBER(VLOOKUP("1.2.2",A2:W103,3,FALSE)),ROUND(VLOOKUP("1.2.2",A2:W103,3,FALSE),4),0) + IF(ISNUMBER(VLOOKUP("1.2.x",A2:W103,3,FALSE)),ROUND(VLOOKUP("1.2.x",A2:W103,3,FALSE),4),0)</f>
      </c>
      <c r="D11" s="4">
        <f>=IF(ISNUMBER(VLOOKUP("1.2.1",A2:W103,4,FALSE)),ROUND(VLOOKUP("1.2.1",A2:W103,4,FALSE),4),0) + IF(ISNUMBER(VLOOKUP("1.2.2",A2:W103,4,FALSE)),ROUND(VLOOKUP("1.2.2",A2:W103,4,FALSE),4),0) + IF(ISNUMBER(VLOOKUP("1.2.x",A2:W103,4,FALSE)),ROUND(VLOOKUP("1.2.x",A2:W103,4,FALSE),4),0)</f>
      </c>
      <c r="E11" s="4">
        <f>=IF(ISNUMBER(VLOOKUP("1.2.1",A2:W103,5,FALSE)),ROUND(VLOOKUP("1.2.1",A2:W103,5,FALSE),4),0) + IF(ISNUMBER(VLOOKUP("1.2.2",A2:W103,5,FALSE)),ROUND(VLOOKUP("1.2.2",A2:W103,5,FALSE),4),0) + IF(ISNUMBER(VLOOKUP("1.2.x",A2:W103,5,FALSE)),ROUND(VLOOKUP("1.2.x",A2:W103,5,FALSE),4),0)</f>
      </c>
      <c r="F11" s="4">
        <f>=IF(ISNUMBER(VLOOKUP("1.2.1",A2:W103,6,FALSE)),ROUND(VLOOKUP("1.2.1",A2:W103,6,FALSE),4),0) + IF(ISNUMBER(VLOOKUP("1.2.2",A2:W103,6,FALSE)),ROUND(VLOOKUP("1.2.2",A2:W103,6,FALSE),4),0) + IF(ISNUMBER(VLOOKUP("1.2.x",A2:W103,6,FALSE)),ROUND(VLOOKUP("1.2.x",A2:W103,6,FALSE),4),0)</f>
      </c>
      <c r="G11" s="4">
        <f>=IF(ISNUMBER(VLOOKUP("1.2.1",A2:W103,7,FALSE)),ROUND(VLOOKUP("1.2.1",A2:W103,7,FALSE),4),0) + IF(ISNUMBER(VLOOKUP("1.2.2",A2:W103,7,FALSE)),ROUND(VLOOKUP("1.2.2",A2:W103,7,FALSE),4),0) + IF(ISNUMBER(VLOOKUP("1.2.x",A2:W103,7,FALSE)),ROUND(VLOOKUP("1.2.x",A2:W103,7,FALSE),4),0)</f>
      </c>
      <c r="H11" s="4">
        <f>=IF(ISNUMBER(VLOOKUP("1.2.1",A2:W103,8,FALSE)),ROUND(VLOOKUP("1.2.1",A2:W103,8,FALSE),4),0) + IF(ISNUMBER(VLOOKUP("1.2.2",A2:W103,8,FALSE)),ROUND(VLOOKUP("1.2.2",A2:W103,8,FALSE),4),0) + IF(ISNUMBER(VLOOKUP("1.2.x",A2:W103,8,FALSE)),ROUND(VLOOKUP("1.2.x",A2:W103,8,FALSE),4),0)</f>
      </c>
      <c r="I11" s="4">
        <f>=IF(ISNUMBER(VLOOKUP("1.2.1",A2:W103,9,FALSE)),ROUND(VLOOKUP("1.2.1",A2:W103,9,FALSE),4),0) + IF(ISNUMBER(VLOOKUP("1.2.2",A2:W103,9,FALSE)),ROUND(VLOOKUP("1.2.2",A2:W103,9,FALSE),4),0) + IF(ISNUMBER(VLOOKUP("1.2.x",A2:W103,9,FALSE)),ROUND(VLOOKUP("1.2.x",A2:W103,9,FALSE),4),0)</f>
      </c>
      <c r="J11" s="4">
        <f>=IF(ISNUMBER(VLOOKUP("1.2.1",A2:W103,10,FALSE)),ROUND(VLOOKUP("1.2.1",A2:W103,10,FALSE),4),0) + IF(ISNUMBER(VLOOKUP("1.2.2",A2:W103,10,FALSE)),ROUND(VLOOKUP("1.2.2",A2:W103,10,FALSE),4),0) + IF(ISNUMBER(VLOOKUP("1.2.x",A2:W103,10,FALSE)),ROUND(VLOOKUP("1.2.x",A2:W103,10,FALSE),4),0)</f>
      </c>
      <c r="K11" s="5">
        <f>=IF(ISNUMBER(VLOOKUP("1.2.1",A2:W103,11,FALSE)),ROUND(VLOOKUP("1.2.1",A2:W103,11,FALSE),4),0) + IF(ISNUMBER(VLOOKUP("1.2.2",A2:W103,11,FALSE)),ROUND(VLOOKUP("1.2.2",A2:W103,11,FALSE),4),0) + IF(ISNUMBER(VLOOKUP("1.2.x",A2:W103,11,FALSE)),ROUND(VLOOKUP("1.2.x",A2:W103,11,FALSE),4),0)</f>
      </c>
      <c r="L11" s="5">
        <f>=IF(ISNUMBER(VLOOKUP("1.2.1",A2:W103,12,FALSE)),ROUND(VLOOKUP("1.2.1",A2:W103,12,FALSE),4),0) + IF(ISNUMBER(VLOOKUP("1.2.2",A2:W103,12,FALSE)),ROUND(VLOOKUP("1.2.2",A2:W103,12,FALSE),4),0) + IF(ISNUMBER(VLOOKUP("1.2.x",A2:W103,12,FALSE)),ROUND(VLOOKUP("1.2.x",A2:W103,12,FALSE),4),0)</f>
      </c>
      <c r="M11" s="5">
        <f>=IF(ISNUMBER(VLOOKUP("1.2.1",A2:W103,13,FALSE)),ROUND(VLOOKUP("1.2.1",A2:W103,13,FALSE),4),0) + IF(ISNUMBER(VLOOKUP("1.2.2",A2:W103,13,FALSE)),ROUND(VLOOKUP("1.2.2",A2:W103,13,FALSE),4),0) + IF(ISNUMBER(VLOOKUP("1.2.x",A2:W103,13,FALSE)),ROUND(VLOOKUP("1.2.x",A2:W103,13,FALSE),4),0)</f>
      </c>
      <c r="N11" s="5">
        <f>=IF(ISNUMBER(VLOOKUP("1.2.1",A2:W103,14,FALSE)),ROUND(VLOOKUP("1.2.1",A2:W103,14,FALSE),4),0) + IF(ISNUMBER(VLOOKUP("1.2.2",A2:W103,14,FALSE)),ROUND(VLOOKUP("1.2.2",A2:W103,14,FALSE),4),0) + IF(ISNUMBER(VLOOKUP("1.2.x",A2:W103,14,FALSE)),ROUND(VLOOKUP("1.2.x",A2:W103,14,FALSE),4),0)</f>
      </c>
      <c r="O11" s="5">
        <f>=IF(ISNUMBER(VLOOKUP("1.2.1",A2:W103,15,FALSE)),ROUND(VLOOKUP("1.2.1",A2:W103,15,FALSE),4),0) + IF(ISNUMBER(VLOOKUP("1.2.2",A2:W103,15,FALSE)),ROUND(VLOOKUP("1.2.2",A2:W103,15,FALSE),4),0) + IF(ISNUMBER(VLOOKUP("1.2.x",A2:W103,15,FALSE)),ROUND(VLOOKUP("1.2.x",A2:W103,15,FALSE),4),0)</f>
      </c>
      <c r="P11" s="5">
        <f>=IF(ISNUMBER(VLOOKUP("1.2.1",A2:W103,16,FALSE)),ROUND(VLOOKUP("1.2.1",A2:W103,16,FALSE),4),0) + IF(ISNUMBER(VLOOKUP("1.2.2",A2:W103,16,FALSE)),ROUND(VLOOKUP("1.2.2",A2:W103,16,FALSE),4),0) + IF(ISNUMBER(VLOOKUP("1.2.x",A2:W103,16,FALSE)),ROUND(VLOOKUP("1.2.x",A2:W103,16,FALSE),4),0)</f>
      </c>
      <c r="Q11" s="5">
        <f>=IF(ISNUMBER(VLOOKUP("1.2.1",A2:W103,17,FALSE)),ROUND(VLOOKUP("1.2.1",A2:W103,17,FALSE),4),0) + IF(ISNUMBER(VLOOKUP("1.2.2",A2:W103,17,FALSE)),ROUND(VLOOKUP("1.2.2",A2:W103,17,FALSE),4),0) + IF(ISNUMBER(VLOOKUP("1.2.x",A2:W103,17,FALSE)),ROUND(VLOOKUP("1.2.x",A2:W103,17,FALSE),4),0)</f>
      </c>
      <c r="R11" s="5">
        <f>=IF(ISNUMBER(VLOOKUP("1.2.1",A2:W103,18,FALSE)),ROUND(VLOOKUP("1.2.1",A2:W103,18,FALSE),4),0) + IF(ISNUMBER(VLOOKUP("1.2.2",A2:W103,18,FALSE)),ROUND(VLOOKUP("1.2.2",A2:W103,18,FALSE),4),0) + IF(ISNUMBER(VLOOKUP("1.2.x",A2:W103,18,FALSE)),ROUND(VLOOKUP("1.2.x",A2:W103,18,FALSE),4),0)</f>
      </c>
      <c r="S11" s="5">
        <f>=IF(ISNUMBER(VLOOKUP("1.2.1",A2:W103,19,FALSE)),ROUND(VLOOKUP("1.2.1",A2:W103,19,FALSE),4),0) + IF(ISNUMBER(VLOOKUP("1.2.2",A2:W103,19,FALSE)),ROUND(VLOOKUP("1.2.2",A2:W103,19,FALSE),4),0) + IF(ISNUMBER(VLOOKUP("1.2.x",A2:W103,19,FALSE)),ROUND(VLOOKUP("1.2.x",A2:W103,19,FALSE),4),0)</f>
      </c>
      <c r="T11" s="5">
        <f>=IF(ISNUMBER(VLOOKUP("1.2.1",A2:W103,20,FALSE)),ROUND(VLOOKUP("1.2.1",A2:W103,20,FALSE),4),0) + IF(ISNUMBER(VLOOKUP("1.2.2",A2:W103,20,FALSE)),ROUND(VLOOKUP("1.2.2",A2:W103,20,FALSE),4),0) + IF(ISNUMBER(VLOOKUP("1.2.x",A2:W103,20,FALSE)),ROUND(VLOOKUP("1.2.x",A2:W103,20,FALSE),4),0)</f>
      </c>
      <c r="U11" s="5">
        <f>=IF(ISNUMBER(VLOOKUP("1.2.1",A2:W103,21,FALSE)),ROUND(VLOOKUP("1.2.1",A2:W103,21,FALSE),4),0) + IF(ISNUMBER(VLOOKUP("1.2.2",A2:W103,21,FALSE)),ROUND(VLOOKUP("1.2.2",A2:W103,21,FALSE),4),0) + IF(ISNUMBER(VLOOKUP("1.2.x",A2:W103,21,FALSE)),ROUND(VLOOKUP("1.2.x",A2:W103,21,FALSE),4),0)</f>
      </c>
      <c r="V11" s="5">
        <f>=IF(ISNUMBER(VLOOKUP("1.2.1",A2:W103,22,FALSE)),ROUND(VLOOKUP("1.2.1",A2:W103,22,FALSE),4),0) + IF(ISNUMBER(VLOOKUP("1.2.2",A2:W103,22,FALSE)),ROUND(VLOOKUP("1.2.2",A2:W103,22,FALSE),4),0) + IF(ISNUMBER(VLOOKUP("1.2.x",A2:W103,22,FALSE)),ROUND(VLOOKUP("1.2.x",A2:W103,22,FALSE),4),0)</f>
      </c>
      <c r="W11" s="5">
        <f>=IF(ISNUMBER(VLOOKUP("1.2.1",A2:W103,23,FALSE)),ROUND(VLOOKUP("1.2.1",A2:W103,23,FALSE),4),0) + IF(ISNUMBER(VLOOKUP("1.2.2",A2:W103,23,FALSE)),ROUND(VLOOKUP("1.2.2",A2:W103,23,FALSE),4),0) + IF(ISNUMBER(VLOOKUP("1.2.x",A2:W103,23,FALSE)),ROUND(VLOOKUP("1.2.x",A2:W103,23,FALSE),4),0)</f>
      </c>
    </row>
    <row r="12" ht="14.2083320617676" customHeight="1">
      <c r="A12" s="6" t="s">
        <v>43</v>
      </c>
      <c r="B12" s="7" t="s">
        <v>44</v>
      </c>
      <c r="C12" s="8">
        <v>72808.72</v>
      </c>
      <c r="D12" s="8">
        <v>437725.3</v>
      </c>
      <c r="E12" s="8">
        <v>139574.47</v>
      </c>
      <c r="F12" s="8">
        <v>329717.92</v>
      </c>
      <c r="G12" s="8">
        <v>821034.75</v>
      </c>
      <c r="H12" s="8">
        <v>439578</v>
      </c>
      <c r="I12" s="8">
        <v>900000</v>
      </c>
      <c r="J12" s="8">
        <v>356040.13</v>
      </c>
      <c r="K12" s="9">
        <v>453600</v>
      </c>
      <c r="L12" s="9">
        <v>300000</v>
      </c>
      <c r="M12" s="9">
        <v>0</v>
      </c>
      <c r="N12" s="9">
        <v>0</v>
      </c>
      <c r="O12" s="9">
        <v>0</v>
      </c>
      <c r="P12" s="9">
        <v>0</v>
      </c>
      <c r="Q12" s="9">
        <v>0</v>
      </c>
      <c r="R12" s="9">
        <v>0</v>
      </c>
      <c r="S12" s="9">
        <v>0</v>
      </c>
      <c r="T12" s="9">
        <v>0</v>
      </c>
      <c r="U12" s="9">
        <v>0</v>
      </c>
      <c r="V12" s="9">
        <v>0</v>
      </c>
      <c r="W12" s="9">
        <v>0</v>
      </c>
    </row>
    <row r="13" ht="14.2083320617676" customHeight="1">
      <c r="A13" s="6" t="s">
        <v>45</v>
      </c>
      <c r="B13" s="7" t="s">
        <v>46</v>
      </c>
      <c r="C13" s="8">
        <v>415541.35</v>
      </c>
      <c r="D13" s="8">
        <v>3919837.25</v>
      </c>
      <c r="E13" s="8">
        <v>3889044.11</v>
      </c>
      <c r="F13" s="8">
        <v>6253750.63</v>
      </c>
      <c r="G13" s="8">
        <v>14024418.87</v>
      </c>
      <c r="H13" s="8">
        <v>13981400.61</v>
      </c>
      <c r="I13" s="8">
        <v>27403274.84</v>
      </c>
      <c r="J13" s="8">
        <v>10613462.32</v>
      </c>
      <c r="K13" s="9">
        <v>24700308.67</v>
      </c>
      <c r="L13" s="9">
        <v>3500000</v>
      </c>
      <c r="M13" s="9">
        <v>0</v>
      </c>
      <c r="N13" s="9">
        <v>0</v>
      </c>
      <c r="O13" s="9">
        <v>0</v>
      </c>
      <c r="P13" s="9">
        <v>0</v>
      </c>
      <c r="Q13" s="9">
        <v>0</v>
      </c>
      <c r="R13" s="9">
        <v>0</v>
      </c>
      <c r="S13" s="9">
        <v>0</v>
      </c>
      <c r="T13" s="9">
        <v>0</v>
      </c>
      <c r="U13" s="9">
        <v>0</v>
      </c>
      <c r="V13" s="9">
        <v>0</v>
      </c>
      <c r="W13" s="9">
        <v>0</v>
      </c>
    </row>
    <row r="14" ht="0" hidden="1">
      <c r="A14" s="6" t="s">
        <v>47</v>
      </c>
      <c r="B14" s="7" t="s">
        <v>40</v>
      </c>
      <c r="C14" s="8">
        <v>0</v>
      </c>
      <c r="D14" s="8">
        <v>0</v>
      </c>
      <c r="E14" s="8">
        <v>53106.98</v>
      </c>
      <c r="F14" s="8">
        <v>34592</v>
      </c>
      <c r="G14" s="8">
        <v>39479.35</v>
      </c>
      <c r="H14" s="8">
        <v>18789.89</v>
      </c>
      <c r="I14" s="8">
        <v>24100</v>
      </c>
      <c r="J14" s="8">
        <v>14820.67</v>
      </c>
      <c r="K14" s="9">
        <v>18000</v>
      </c>
      <c r="L14" s="9">
        <v>0</v>
      </c>
      <c r="M14" s="9">
        <v>0</v>
      </c>
      <c r="N14" s="9">
        <v>0</v>
      </c>
      <c r="O14" s="9">
        <v>0</v>
      </c>
      <c r="P14" s="9">
        <v>0</v>
      </c>
      <c r="Q14" s="9">
        <v>0</v>
      </c>
      <c r="R14" s="9">
        <v>0</v>
      </c>
      <c r="S14" s="9">
        <v>0</v>
      </c>
      <c r="T14" s="9">
        <v>0</v>
      </c>
      <c r="U14" s="9">
        <v>0</v>
      </c>
      <c r="V14" s="9">
        <v>0</v>
      </c>
      <c r="W14" s="9">
        <v>0</v>
      </c>
    </row>
    <row r="15" ht="14.2083320617676" customHeight="1">
      <c r="A15" s="2" t="s">
        <v>48</v>
      </c>
      <c r="B15" s="3" t="s">
        <v>49</v>
      </c>
      <c r="C15" s="4">
        <f>=IF(ISNUMBER(VLOOKUP("2.1",A2:W103,3,FALSE)),ROUND(VLOOKUP("2.1",A2:W103,3,FALSE),4),0) + IF(ISNUMBER(VLOOKUP("2.2",A2:W103,3,FALSE)),ROUND(VLOOKUP("2.2",A2:W103,3,FALSE),4),0)</f>
      </c>
      <c r="D15" s="4">
        <f>=IF(ISNUMBER(VLOOKUP("2.1",A2:W103,4,FALSE)),ROUND(VLOOKUP("2.1",A2:W103,4,FALSE),4),0) + IF(ISNUMBER(VLOOKUP("2.2",A2:W103,4,FALSE)),ROUND(VLOOKUP("2.2",A2:W103,4,FALSE),4),0)</f>
      </c>
      <c r="E15" s="4">
        <f>=IF(ISNUMBER(VLOOKUP("2.1",A2:W103,5,FALSE)),ROUND(VLOOKUP("2.1",A2:W103,5,FALSE),4),0) + IF(ISNUMBER(VLOOKUP("2.2",A2:W103,5,FALSE)),ROUND(VLOOKUP("2.2",A2:W103,5,FALSE),4),0)</f>
      </c>
      <c r="F15" s="4">
        <f>=IF(ISNUMBER(VLOOKUP("2.1",A2:W103,6,FALSE)),ROUND(VLOOKUP("2.1",A2:W103,6,FALSE),4),0) + IF(ISNUMBER(VLOOKUP("2.2",A2:W103,6,FALSE)),ROUND(VLOOKUP("2.2",A2:W103,6,FALSE),4),0)</f>
      </c>
      <c r="G15" s="4">
        <f>=IF(ISNUMBER(VLOOKUP("2.1",A2:W103,7,FALSE)),ROUND(VLOOKUP("2.1",A2:W103,7,FALSE),4),0) + IF(ISNUMBER(VLOOKUP("2.2",A2:W103,7,FALSE)),ROUND(VLOOKUP("2.2",A2:W103,7,FALSE),4),0)</f>
      </c>
      <c r="H15" s="4">
        <f>=IF(ISNUMBER(VLOOKUP("2.1",A2:W103,8,FALSE)),ROUND(VLOOKUP("2.1",A2:W103,8,FALSE),4),0) + IF(ISNUMBER(VLOOKUP("2.2",A2:W103,8,FALSE)),ROUND(VLOOKUP("2.2",A2:W103,8,FALSE),4),0)</f>
      </c>
      <c r="I15" s="4">
        <f>=IF(ISNUMBER(VLOOKUP("2.1",A2:W103,9,FALSE)),ROUND(VLOOKUP("2.1",A2:W103,9,FALSE),4),0) + IF(ISNUMBER(VLOOKUP("2.2",A2:W103,9,FALSE)),ROUND(VLOOKUP("2.2",A2:W103,9,FALSE),4),0)</f>
      </c>
      <c r="J15" s="4">
        <f>=IF(ISNUMBER(VLOOKUP("2.1",A2:W103,10,FALSE)),ROUND(VLOOKUP("2.1",A2:W103,10,FALSE),4),0) + IF(ISNUMBER(VLOOKUP("2.2",A2:W103,10,FALSE)),ROUND(VLOOKUP("2.2",A2:W103,10,FALSE),4),0)</f>
      </c>
      <c r="K15" s="5">
        <f>=IF(ISNUMBER(VLOOKUP("2.1",A2:W103,11,FALSE)),ROUND(VLOOKUP("2.1",A2:W103,11,FALSE),4),0) + IF(ISNUMBER(VLOOKUP("2.2",A2:W103,11,FALSE)),ROUND(VLOOKUP("2.2",A2:W103,11,FALSE),4),0)</f>
      </c>
      <c r="L15" s="5">
        <f>=IF(ISNUMBER(VLOOKUP("2.1",A2:W103,12,FALSE)),ROUND(VLOOKUP("2.1",A2:W103,12,FALSE),4),0) + IF(ISNUMBER(VLOOKUP("2.2",A2:W103,12,FALSE)),ROUND(VLOOKUP("2.2",A2:W103,12,FALSE),4),0)</f>
      </c>
      <c r="M15" s="5">
        <f>=IF(ISNUMBER(VLOOKUP("2.1",A2:W103,13,FALSE)),ROUND(VLOOKUP("2.1",A2:W103,13,FALSE),4),0) + IF(ISNUMBER(VLOOKUP("2.2",A2:W103,13,FALSE)),ROUND(VLOOKUP("2.2",A2:W103,13,FALSE),4),0)</f>
      </c>
      <c r="N15" s="5">
        <f>=IF(ISNUMBER(VLOOKUP("2.1",A2:W103,14,FALSE)),ROUND(VLOOKUP("2.1",A2:W103,14,FALSE),4),0) + IF(ISNUMBER(VLOOKUP("2.2",A2:W103,14,FALSE)),ROUND(VLOOKUP("2.2",A2:W103,14,FALSE),4),0)</f>
      </c>
      <c r="O15" s="5">
        <f>=IF(ISNUMBER(VLOOKUP("2.1",A2:W103,15,FALSE)),ROUND(VLOOKUP("2.1",A2:W103,15,FALSE),4),0) + IF(ISNUMBER(VLOOKUP("2.2",A2:W103,15,FALSE)),ROUND(VLOOKUP("2.2",A2:W103,15,FALSE),4),0)</f>
      </c>
      <c r="P15" s="5">
        <f>=IF(ISNUMBER(VLOOKUP("2.1",A2:W103,16,FALSE)),ROUND(VLOOKUP("2.1",A2:W103,16,FALSE),4),0) + IF(ISNUMBER(VLOOKUP("2.2",A2:W103,16,FALSE)),ROUND(VLOOKUP("2.2",A2:W103,16,FALSE),4),0)</f>
      </c>
      <c r="Q15" s="5">
        <f>=IF(ISNUMBER(VLOOKUP("2.1",A2:W103,17,FALSE)),ROUND(VLOOKUP("2.1",A2:W103,17,FALSE),4),0) + IF(ISNUMBER(VLOOKUP("2.2",A2:W103,17,FALSE)),ROUND(VLOOKUP("2.2",A2:W103,17,FALSE),4),0)</f>
      </c>
      <c r="R15" s="5">
        <f>=IF(ISNUMBER(VLOOKUP("2.1",A2:W103,18,FALSE)),ROUND(VLOOKUP("2.1",A2:W103,18,FALSE),4),0) + IF(ISNUMBER(VLOOKUP("2.2",A2:W103,18,FALSE)),ROUND(VLOOKUP("2.2",A2:W103,18,FALSE),4),0)</f>
      </c>
      <c r="S15" s="5">
        <f>=IF(ISNUMBER(VLOOKUP("2.1",A2:W103,19,FALSE)),ROUND(VLOOKUP("2.1",A2:W103,19,FALSE),4),0) + IF(ISNUMBER(VLOOKUP("2.2",A2:W103,19,FALSE)),ROUND(VLOOKUP("2.2",A2:W103,19,FALSE),4),0)</f>
      </c>
      <c r="T15" s="5">
        <f>=IF(ISNUMBER(VLOOKUP("2.1",A2:W103,20,FALSE)),ROUND(VLOOKUP("2.1",A2:W103,20,FALSE),4),0) + IF(ISNUMBER(VLOOKUP("2.2",A2:W103,20,FALSE)),ROUND(VLOOKUP("2.2",A2:W103,20,FALSE),4),0)</f>
      </c>
      <c r="U15" s="5">
        <f>=IF(ISNUMBER(VLOOKUP("2.1",A2:W103,21,FALSE)),ROUND(VLOOKUP("2.1",A2:W103,21,FALSE),4),0) + IF(ISNUMBER(VLOOKUP("2.2",A2:W103,21,FALSE)),ROUND(VLOOKUP("2.2",A2:W103,21,FALSE),4),0)</f>
      </c>
      <c r="V15" s="5">
        <f>=IF(ISNUMBER(VLOOKUP("2.1",A2:W103,22,FALSE)),ROUND(VLOOKUP("2.1",A2:W103,22,FALSE),4),0) + IF(ISNUMBER(VLOOKUP("2.2",A2:W103,22,FALSE)),ROUND(VLOOKUP("2.2",A2:W103,22,FALSE),4),0)</f>
      </c>
      <c r="W15" s="5">
        <f>=IF(ISNUMBER(VLOOKUP("2.1",A2:W103,23,FALSE)),ROUND(VLOOKUP("2.1",A2:W103,23,FALSE),4),0) + IF(ISNUMBER(VLOOKUP("2.2",A2:W103,23,FALSE)),ROUND(VLOOKUP("2.2",A2:W103,23,FALSE),4),0)</f>
      </c>
    </row>
    <row r="16" ht="14.2083320617676" customHeight="1">
      <c r="A16" s="2" t="s">
        <v>50</v>
      </c>
      <c r="B16" s="3" t="s">
        <v>51</v>
      </c>
      <c r="C16" s="4">
        <f>=IF(ISNUMBER(VLOOKUP("2.1.1",A2:W103,3,FALSE)),ROUND(VLOOKUP("2.1.1",A2:W103,3,FALSE),4),0) + IF(ISNUMBER(VLOOKUP("2.1.2",A2:W103,3,FALSE)),ROUND(VLOOKUP("2.1.2",A2:W103,3,FALSE),4),0) + IF(ISNUMBER(VLOOKUP("2.1.3",A2:W103,3,FALSE)),ROUND(VLOOKUP("2.1.3",A2:W103,3,FALSE),4),0) + IF(ISNUMBER(VLOOKUP("2.1.x",A2:W103,3,FALSE)),ROUND(VLOOKUP("2.1.x",A2:W103,3,FALSE),4),0)</f>
      </c>
      <c r="D16" s="4">
        <f>=IF(ISNUMBER(VLOOKUP("2.1.1",A2:W103,4,FALSE)),ROUND(VLOOKUP("2.1.1",A2:W103,4,FALSE),4),0) + IF(ISNUMBER(VLOOKUP("2.1.2",A2:W103,4,FALSE)),ROUND(VLOOKUP("2.1.2",A2:W103,4,FALSE),4),0) + IF(ISNUMBER(VLOOKUP("2.1.3",A2:W103,4,FALSE)),ROUND(VLOOKUP("2.1.3",A2:W103,4,FALSE),4),0) + IF(ISNUMBER(VLOOKUP("2.1.x",A2:W103,4,FALSE)),ROUND(VLOOKUP("2.1.x",A2:W103,4,FALSE),4),0)</f>
      </c>
      <c r="E16" s="4">
        <f>=IF(ISNUMBER(VLOOKUP("2.1.1",A2:W103,5,FALSE)),ROUND(VLOOKUP("2.1.1",A2:W103,5,FALSE),4),0) + IF(ISNUMBER(VLOOKUP("2.1.2",A2:W103,5,FALSE)),ROUND(VLOOKUP("2.1.2",A2:W103,5,FALSE),4),0) + IF(ISNUMBER(VLOOKUP("2.1.3",A2:W103,5,FALSE)),ROUND(VLOOKUP("2.1.3",A2:W103,5,FALSE),4),0) + IF(ISNUMBER(VLOOKUP("2.1.x",A2:W103,5,FALSE)),ROUND(VLOOKUP("2.1.x",A2:W103,5,FALSE),4),0)</f>
      </c>
      <c r="F16" s="4">
        <f>=IF(ISNUMBER(VLOOKUP("2.1.1",A2:W103,6,FALSE)),ROUND(VLOOKUP("2.1.1",A2:W103,6,FALSE),4),0) + IF(ISNUMBER(VLOOKUP("2.1.2",A2:W103,6,FALSE)),ROUND(VLOOKUP("2.1.2",A2:W103,6,FALSE),4),0) + IF(ISNUMBER(VLOOKUP("2.1.3",A2:W103,6,FALSE)),ROUND(VLOOKUP("2.1.3",A2:W103,6,FALSE),4),0) + IF(ISNUMBER(VLOOKUP("2.1.x",A2:W103,6,FALSE)),ROUND(VLOOKUP("2.1.x",A2:W103,6,FALSE),4),0)</f>
      </c>
      <c r="G16" s="4">
        <f>=IF(ISNUMBER(VLOOKUP("2.1.1",A2:W103,7,FALSE)),ROUND(VLOOKUP("2.1.1",A2:W103,7,FALSE),4),0) + IF(ISNUMBER(VLOOKUP("2.1.2",A2:W103,7,FALSE)),ROUND(VLOOKUP("2.1.2",A2:W103,7,FALSE),4),0) + IF(ISNUMBER(VLOOKUP("2.1.3",A2:W103,7,FALSE)),ROUND(VLOOKUP("2.1.3",A2:W103,7,FALSE),4),0) + IF(ISNUMBER(VLOOKUP("2.1.x",A2:W103,7,FALSE)),ROUND(VLOOKUP("2.1.x",A2:W103,7,FALSE),4),0)</f>
      </c>
      <c r="H16" s="4">
        <f>=IF(ISNUMBER(VLOOKUP("2.1.1",A2:W103,8,FALSE)),ROUND(VLOOKUP("2.1.1",A2:W103,8,FALSE),4),0) + IF(ISNUMBER(VLOOKUP("2.1.2",A2:W103,8,FALSE)),ROUND(VLOOKUP("2.1.2",A2:W103,8,FALSE),4),0) + IF(ISNUMBER(VLOOKUP("2.1.3",A2:W103,8,FALSE)),ROUND(VLOOKUP("2.1.3",A2:W103,8,FALSE),4),0) + IF(ISNUMBER(VLOOKUP("2.1.x",A2:W103,8,FALSE)),ROUND(VLOOKUP("2.1.x",A2:W103,8,FALSE),4),0)</f>
      </c>
      <c r="I16" s="4">
        <f>=IF(ISNUMBER(VLOOKUP("2.1.1",A2:W103,9,FALSE)),ROUND(VLOOKUP("2.1.1",A2:W103,9,FALSE),4),0) + IF(ISNUMBER(VLOOKUP("2.1.2",A2:W103,9,FALSE)),ROUND(VLOOKUP("2.1.2",A2:W103,9,FALSE),4),0) + IF(ISNUMBER(VLOOKUP("2.1.3",A2:W103,9,FALSE)),ROUND(VLOOKUP("2.1.3",A2:W103,9,FALSE),4),0) + IF(ISNUMBER(VLOOKUP("2.1.x",A2:W103,9,FALSE)),ROUND(VLOOKUP("2.1.x",A2:W103,9,FALSE),4),0)</f>
      </c>
      <c r="J16" s="4">
        <f>=IF(ISNUMBER(VLOOKUP("2.1.1",A2:W103,10,FALSE)),ROUND(VLOOKUP("2.1.1",A2:W103,10,FALSE),4),0) + IF(ISNUMBER(VLOOKUP("2.1.2",A2:W103,10,FALSE)),ROUND(VLOOKUP("2.1.2",A2:W103,10,FALSE),4),0) + IF(ISNUMBER(VLOOKUP("2.1.3",A2:W103,10,FALSE)),ROUND(VLOOKUP("2.1.3",A2:W103,10,FALSE),4),0) + IF(ISNUMBER(VLOOKUP("2.1.x",A2:W103,10,FALSE)),ROUND(VLOOKUP("2.1.x",A2:W103,10,FALSE),4),0)</f>
      </c>
      <c r="K16" s="5">
        <f>=IF(ISNUMBER(VLOOKUP("2.1.1",A2:W103,11,FALSE)),ROUND(VLOOKUP("2.1.1",A2:W103,11,FALSE),4),0) + IF(ISNUMBER(VLOOKUP("2.1.2",A2:W103,11,FALSE)),ROUND(VLOOKUP("2.1.2",A2:W103,11,FALSE),4),0) + IF(ISNUMBER(VLOOKUP("2.1.3",A2:W103,11,FALSE)),ROUND(VLOOKUP("2.1.3",A2:W103,11,FALSE),4),0) + IF(ISNUMBER(VLOOKUP("2.1.x",A2:W103,11,FALSE)),ROUND(VLOOKUP("2.1.x",A2:W103,11,FALSE),4),0)</f>
      </c>
      <c r="L16" s="5">
        <f>=IF(ISNUMBER(VLOOKUP("2.1.1",A2:W103,12,FALSE)),ROUND(VLOOKUP("2.1.1",A2:W103,12,FALSE),4),0) + IF(ISNUMBER(VLOOKUP("2.1.2",A2:W103,12,FALSE)),ROUND(VLOOKUP("2.1.2",A2:W103,12,FALSE),4),0) + IF(ISNUMBER(VLOOKUP("2.1.3",A2:W103,12,FALSE)),ROUND(VLOOKUP("2.1.3",A2:W103,12,FALSE),4),0) + IF(ISNUMBER(VLOOKUP("2.1.x",A2:W103,12,FALSE)),ROUND(VLOOKUP("2.1.x",A2:W103,12,FALSE),4),0)</f>
      </c>
      <c r="M16" s="5">
        <f>=IF(ISNUMBER(VLOOKUP("2.1.1",A2:W103,13,FALSE)),ROUND(VLOOKUP("2.1.1",A2:W103,13,FALSE),4),0) + IF(ISNUMBER(VLOOKUP("2.1.2",A2:W103,13,FALSE)),ROUND(VLOOKUP("2.1.2",A2:W103,13,FALSE),4),0) + IF(ISNUMBER(VLOOKUP("2.1.3",A2:W103,13,FALSE)),ROUND(VLOOKUP("2.1.3",A2:W103,13,FALSE),4),0) + IF(ISNUMBER(VLOOKUP("2.1.x",A2:W103,13,FALSE)),ROUND(VLOOKUP("2.1.x",A2:W103,13,FALSE),4),0)</f>
      </c>
      <c r="N16" s="5">
        <f>=IF(ISNUMBER(VLOOKUP("2.1.1",A2:W103,14,FALSE)),ROUND(VLOOKUP("2.1.1",A2:W103,14,FALSE),4),0) + IF(ISNUMBER(VLOOKUP("2.1.2",A2:W103,14,FALSE)),ROUND(VLOOKUP("2.1.2",A2:W103,14,FALSE),4),0) + IF(ISNUMBER(VLOOKUP("2.1.3",A2:W103,14,FALSE)),ROUND(VLOOKUP("2.1.3",A2:W103,14,FALSE),4),0) + IF(ISNUMBER(VLOOKUP("2.1.x",A2:W103,14,FALSE)),ROUND(VLOOKUP("2.1.x",A2:W103,14,FALSE),4),0)</f>
      </c>
      <c r="O16" s="5">
        <f>=IF(ISNUMBER(VLOOKUP("2.1.1",A2:W103,15,FALSE)),ROUND(VLOOKUP("2.1.1",A2:W103,15,FALSE),4),0) + IF(ISNUMBER(VLOOKUP("2.1.2",A2:W103,15,FALSE)),ROUND(VLOOKUP("2.1.2",A2:W103,15,FALSE),4),0) + IF(ISNUMBER(VLOOKUP("2.1.3",A2:W103,15,FALSE)),ROUND(VLOOKUP("2.1.3",A2:W103,15,FALSE),4),0) + IF(ISNUMBER(VLOOKUP("2.1.x",A2:W103,15,FALSE)),ROUND(VLOOKUP("2.1.x",A2:W103,15,FALSE),4),0)</f>
      </c>
      <c r="P16" s="5">
        <f>=IF(ISNUMBER(VLOOKUP("2.1.1",A2:W103,16,FALSE)),ROUND(VLOOKUP("2.1.1",A2:W103,16,FALSE),4),0) + IF(ISNUMBER(VLOOKUP("2.1.2",A2:W103,16,FALSE)),ROUND(VLOOKUP("2.1.2",A2:W103,16,FALSE),4),0) + IF(ISNUMBER(VLOOKUP("2.1.3",A2:W103,16,FALSE)),ROUND(VLOOKUP("2.1.3",A2:W103,16,FALSE),4),0) + IF(ISNUMBER(VLOOKUP("2.1.x",A2:W103,16,FALSE)),ROUND(VLOOKUP("2.1.x",A2:W103,16,FALSE),4),0)</f>
      </c>
      <c r="Q16" s="5">
        <f>=IF(ISNUMBER(VLOOKUP("2.1.1",A2:W103,17,FALSE)),ROUND(VLOOKUP("2.1.1",A2:W103,17,FALSE),4),0) + IF(ISNUMBER(VLOOKUP("2.1.2",A2:W103,17,FALSE)),ROUND(VLOOKUP("2.1.2",A2:W103,17,FALSE),4),0) + IF(ISNUMBER(VLOOKUP("2.1.3",A2:W103,17,FALSE)),ROUND(VLOOKUP("2.1.3",A2:W103,17,FALSE),4),0) + IF(ISNUMBER(VLOOKUP("2.1.x",A2:W103,17,FALSE)),ROUND(VLOOKUP("2.1.x",A2:W103,17,FALSE),4),0)</f>
      </c>
      <c r="R16" s="5">
        <f>=IF(ISNUMBER(VLOOKUP("2.1.1",A2:W103,18,FALSE)),ROUND(VLOOKUP("2.1.1",A2:W103,18,FALSE),4),0) + IF(ISNUMBER(VLOOKUP("2.1.2",A2:W103,18,FALSE)),ROUND(VLOOKUP("2.1.2",A2:W103,18,FALSE),4),0) + IF(ISNUMBER(VLOOKUP("2.1.3",A2:W103,18,FALSE)),ROUND(VLOOKUP("2.1.3",A2:W103,18,FALSE),4),0) + IF(ISNUMBER(VLOOKUP("2.1.x",A2:W103,18,FALSE)),ROUND(VLOOKUP("2.1.x",A2:W103,18,FALSE),4),0)</f>
      </c>
      <c r="S16" s="5">
        <f>=IF(ISNUMBER(VLOOKUP("2.1.1",A2:W103,19,FALSE)),ROUND(VLOOKUP("2.1.1",A2:W103,19,FALSE),4),0) + IF(ISNUMBER(VLOOKUP("2.1.2",A2:W103,19,FALSE)),ROUND(VLOOKUP("2.1.2",A2:W103,19,FALSE),4),0) + IF(ISNUMBER(VLOOKUP("2.1.3",A2:W103,19,FALSE)),ROUND(VLOOKUP("2.1.3",A2:W103,19,FALSE),4),0) + IF(ISNUMBER(VLOOKUP("2.1.x",A2:W103,19,FALSE)),ROUND(VLOOKUP("2.1.x",A2:W103,19,FALSE),4),0)</f>
      </c>
      <c r="T16" s="5">
        <f>=IF(ISNUMBER(VLOOKUP("2.1.1",A2:W103,20,FALSE)),ROUND(VLOOKUP("2.1.1",A2:W103,20,FALSE),4),0) + IF(ISNUMBER(VLOOKUP("2.1.2",A2:W103,20,FALSE)),ROUND(VLOOKUP("2.1.2",A2:W103,20,FALSE),4),0) + IF(ISNUMBER(VLOOKUP("2.1.3",A2:W103,20,FALSE)),ROUND(VLOOKUP("2.1.3",A2:W103,20,FALSE),4),0) + IF(ISNUMBER(VLOOKUP("2.1.x",A2:W103,20,FALSE)),ROUND(VLOOKUP("2.1.x",A2:W103,20,FALSE),4),0)</f>
      </c>
      <c r="U16" s="5">
        <f>=IF(ISNUMBER(VLOOKUP("2.1.1",A2:W103,21,FALSE)),ROUND(VLOOKUP("2.1.1",A2:W103,21,FALSE),4),0) + IF(ISNUMBER(VLOOKUP("2.1.2",A2:W103,21,FALSE)),ROUND(VLOOKUP("2.1.2",A2:W103,21,FALSE),4),0) + IF(ISNUMBER(VLOOKUP("2.1.3",A2:W103,21,FALSE)),ROUND(VLOOKUP("2.1.3",A2:W103,21,FALSE),4),0) + IF(ISNUMBER(VLOOKUP("2.1.x",A2:W103,21,FALSE)),ROUND(VLOOKUP("2.1.x",A2:W103,21,FALSE),4),0)</f>
      </c>
      <c r="V16" s="5">
        <f>=IF(ISNUMBER(VLOOKUP("2.1.1",A2:W103,22,FALSE)),ROUND(VLOOKUP("2.1.1",A2:W103,22,FALSE),4),0) + IF(ISNUMBER(VLOOKUP("2.1.2",A2:W103,22,FALSE)),ROUND(VLOOKUP("2.1.2",A2:W103,22,FALSE),4),0) + IF(ISNUMBER(VLOOKUP("2.1.3",A2:W103,22,FALSE)),ROUND(VLOOKUP("2.1.3",A2:W103,22,FALSE),4),0) + IF(ISNUMBER(VLOOKUP("2.1.x",A2:W103,22,FALSE)),ROUND(VLOOKUP("2.1.x",A2:W103,22,FALSE),4),0)</f>
      </c>
      <c r="W16" s="5">
        <f>=IF(ISNUMBER(VLOOKUP("2.1.1",A2:W103,23,FALSE)),ROUND(VLOOKUP("2.1.1",A2:W103,23,FALSE),4),0) + IF(ISNUMBER(VLOOKUP("2.1.2",A2:W103,23,FALSE)),ROUND(VLOOKUP("2.1.2",A2:W103,23,FALSE),4),0) + IF(ISNUMBER(VLOOKUP("2.1.3",A2:W103,23,FALSE)),ROUND(VLOOKUP("2.1.3",A2:W103,23,FALSE),4),0) + IF(ISNUMBER(VLOOKUP("2.1.x",A2:W103,23,FALSE)),ROUND(VLOOKUP("2.1.x",A2:W103,23,FALSE),4),0)</f>
      </c>
    </row>
    <row r="17" ht="14.2083320617676" customHeight="1">
      <c r="A17" s="6" t="s">
        <v>52</v>
      </c>
      <c r="B17" s="7" t="s">
        <v>53</v>
      </c>
      <c r="C17" s="8">
        <v>9171259.08</v>
      </c>
      <c r="D17" s="8">
        <v>10053874.04</v>
      </c>
      <c r="E17" s="8">
        <v>10654530.16</v>
      </c>
      <c r="F17" s="8">
        <v>11157431.82</v>
      </c>
      <c r="G17" s="8">
        <v>11774243.18</v>
      </c>
      <c r="H17" s="8">
        <v>12378626.62</v>
      </c>
      <c r="I17" s="8">
        <v>12998107.51</v>
      </c>
      <c r="J17" s="8">
        <v>13120296.58</v>
      </c>
      <c r="K17" s="9">
        <v>16527938.03</v>
      </c>
      <c r="L17" s="9">
        <v>17031438</v>
      </c>
      <c r="M17" s="9">
        <v>17567928</v>
      </c>
      <c r="N17" s="9">
        <v>18077398</v>
      </c>
      <c r="O17" s="9">
        <v>18556449</v>
      </c>
      <c r="P17" s="9">
        <v>18806961</v>
      </c>
      <c r="Q17" s="9">
        <v>19060855</v>
      </c>
      <c r="R17" s="9">
        <v>19308646</v>
      </c>
      <c r="S17" s="9">
        <v>19550004</v>
      </c>
      <c r="T17" s="9">
        <v>19794379</v>
      </c>
      <c r="U17" s="9">
        <v>20031912</v>
      </c>
      <c r="V17" s="9">
        <v>20272295</v>
      </c>
      <c r="W17" s="9">
        <v>20505426</v>
      </c>
    </row>
    <row r="18" ht="14.2083320617676" customHeight="1">
      <c r="A18" s="6" t="s">
        <v>54</v>
      </c>
      <c r="B18" s="7" t="s">
        <v>55</v>
      </c>
      <c r="C18" s="10">
        <v>0</v>
      </c>
      <c r="D18" s="10">
        <v>0</v>
      </c>
      <c r="E18" s="10">
        <v>0</v>
      </c>
      <c r="F18" s="10">
        <v>0</v>
      </c>
      <c r="G18" s="10">
        <v>0</v>
      </c>
      <c r="H18" s="10">
        <v>0</v>
      </c>
      <c r="I18" s="10">
        <v>0</v>
      </c>
      <c r="J18" s="10">
        <v>0</v>
      </c>
      <c r="K18" s="11">
        <v>0</v>
      </c>
      <c r="L18" s="11">
        <v>0</v>
      </c>
      <c r="M18" s="11">
        <v>0</v>
      </c>
      <c r="N18" s="11">
        <v>0</v>
      </c>
      <c r="O18" s="11">
        <v>0</v>
      </c>
      <c r="P18" s="11">
        <v>0</v>
      </c>
      <c r="Q18" s="11">
        <v>0</v>
      </c>
      <c r="R18" s="11">
        <v>0</v>
      </c>
      <c r="S18" s="11">
        <v>0</v>
      </c>
      <c r="T18" s="11">
        <v>0</v>
      </c>
      <c r="U18" s="11">
        <v>0</v>
      </c>
      <c r="V18" s="11">
        <v>0</v>
      </c>
      <c r="W18" s="11">
        <v>0</v>
      </c>
    </row>
    <row r="19" ht="27.0833320617676" customHeight="1">
      <c r="A19" s="6" t="s">
        <v>56</v>
      </c>
      <c r="B19" s="7" t="s">
        <v>57</v>
      </c>
      <c r="C19" s="10">
        <v>0</v>
      </c>
      <c r="D19" s="10">
        <v>0</v>
      </c>
      <c r="E19" s="10">
        <v>0</v>
      </c>
      <c r="F19" s="10">
        <v>0</v>
      </c>
      <c r="G19" s="10">
        <v>0</v>
      </c>
      <c r="H19" s="10">
        <v>0</v>
      </c>
      <c r="I19" s="10">
        <v>0</v>
      </c>
      <c r="J19" s="10">
        <v>0</v>
      </c>
      <c r="K19" s="11">
        <v>0</v>
      </c>
      <c r="L19" s="11">
        <v>0</v>
      </c>
      <c r="M19" s="11">
        <v>0</v>
      </c>
      <c r="N19" s="11">
        <v>0</v>
      </c>
      <c r="O19" s="11">
        <v>0</v>
      </c>
      <c r="P19" s="11">
        <v>0</v>
      </c>
      <c r="Q19" s="11">
        <v>0</v>
      </c>
      <c r="R19" s="11">
        <v>0</v>
      </c>
      <c r="S19" s="11">
        <v>0</v>
      </c>
      <c r="T19" s="11">
        <v>0</v>
      </c>
      <c r="U19" s="11">
        <v>0</v>
      </c>
      <c r="V19" s="11">
        <v>0</v>
      </c>
      <c r="W19" s="11">
        <v>0</v>
      </c>
    </row>
    <row r="20" ht="14.2083320617676" customHeight="1">
      <c r="A20" s="6" t="s">
        <v>58</v>
      </c>
      <c r="B20" s="7" t="s">
        <v>59</v>
      </c>
      <c r="C20" s="10">
        <v>392463.24</v>
      </c>
      <c r="D20" s="10">
        <v>430944.78</v>
      </c>
      <c r="E20" s="10">
        <v>485388.13</v>
      </c>
      <c r="F20" s="10">
        <v>389621.17</v>
      </c>
      <c r="G20" s="10">
        <v>258326.6</v>
      </c>
      <c r="H20" s="10">
        <v>1010267.06</v>
      </c>
      <c r="I20" s="10">
        <v>1625000</v>
      </c>
      <c r="J20" s="10">
        <v>1553076.66</v>
      </c>
      <c r="K20" s="11">
        <v>1600000</v>
      </c>
      <c r="L20" s="11">
        <v>1756129</v>
      </c>
      <c r="M20" s="11">
        <v>1422488</v>
      </c>
      <c r="N20" s="11">
        <v>1225729</v>
      </c>
      <c r="O20" s="11">
        <v>1036841</v>
      </c>
      <c r="P20" s="11">
        <v>948403</v>
      </c>
      <c r="Q20" s="11">
        <v>662453</v>
      </c>
      <c r="R20" s="11">
        <v>568714</v>
      </c>
      <c r="S20" s="11">
        <v>450000</v>
      </c>
      <c r="T20" s="11">
        <v>326250</v>
      </c>
      <c r="U20" s="11">
        <v>213750</v>
      </c>
      <c r="V20" s="11">
        <v>101250</v>
      </c>
      <c r="W20" s="11">
        <v>22500</v>
      </c>
    </row>
    <row r="21" ht="0" hidden="1">
      <c r="A21" s="6" t="s">
        <v>60</v>
      </c>
      <c r="B21" s="7" t="s">
        <v>61</v>
      </c>
      <c r="C21" s="10">
        <v>392463.24</v>
      </c>
      <c r="D21" s="10">
        <v>430944.78</v>
      </c>
      <c r="E21" s="10">
        <v>485388.13</v>
      </c>
      <c r="F21" s="10">
        <v>389621.17</v>
      </c>
      <c r="G21" s="10">
        <v>258326.6</v>
      </c>
      <c r="H21" s="10">
        <v>1010267.06</v>
      </c>
      <c r="I21" s="10">
        <v>1625000</v>
      </c>
      <c r="J21" s="10">
        <v>1553076.66</v>
      </c>
      <c r="K21" s="11">
        <v>1600000</v>
      </c>
      <c r="L21" s="11">
        <v>1756129</v>
      </c>
      <c r="M21" s="11">
        <v>1422488</v>
      </c>
      <c r="N21" s="11">
        <v>1225729</v>
      </c>
      <c r="O21" s="11">
        <v>1036841</v>
      </c>
      <c r="P21" s="11">
        <v>948403</v>
      </c>
      <c r="Q21" s="11">
        <v>662453</v>
      </c>
      <c r="R21" s="11">
        <v>568714</v>
      </c>
      <c r="S21" s="11">
        <v>450000</v>
      </c>
      <c r="T21" s="11">
        <v>326250</v>
      </c>
      <c r="U21" s="11">
        <v>213750</v>
      </c>
      <c r="V21" s="11">
        <v>101250</v>
      </c>
      <c r="W21" s="11">
        <v>22500</v>
      </c>
    </row>
    <row r="22" ht="65.7083282470703" customHeight="1">
      <c r="A22" s="6" t="s">
        <v>62</v>
      </c>
      <c r="B22" s="7" t="s">
        <v>63</v>
      </c>
      <c r="C22" s="10">
        <v>0</v>
      </c>
      <c r="D22" s="10">
        <v>0</v>
      </c>
      <c r="E22" s="10">
        <v>124527.19</v>
      </c>
      <c r="F22" s="10">
        <v>140000</v>
      </c>
      <c r="G22" s="10">
        <v>85000</v>
      </c>
      <c r="H22" s="10">
        <v>85000</v>
      </c>
      <c r="I22" s="10">
        <v>90000</v>
      </c>
      <c r="J22" s="10">
        <v>90000</v>
      </c>
      <c r="K22" s="11">
        <v>19756</v>
      </c>
      <c r="L22" s="11">
        <v>29920</v>
      </c>
      <c r="M22" s="11">
        <v>0</v>
      </c>
      <c r="N22" s="11">
        <v>0</v>
      </c>
      <c r="O22" s="11">
        <v>0</v>
      </c>
      <c r="P22" s="11">
        <v>0</v>
      </c>
      <c r="Q22" s="11">
        <v>0</v>
      </c>
      <c r="R22" s="11">
        <v>0</v>
      </c>
      <c r="S22" s="11">
        <v>0</v>
      </c>
      <c r="T22" s="11">
        <v>0</v>
      </c>
      <c r="U22" s="11">
        <v>0</v>
      </c>
      <c r="V22" s="11">
        <v>0</v>
      </c>
      <c r="W22" s="11">
        <v>0</v>
      </c>
    </row>
    <row r="23" ht="39.9583320617676" customHeight="1">
      <c r="A23" s="6" t="s">
        <v>64</v>
      </c>
      <c r="B23" s="7" t="s">
        <v>65</v>
      </c>
      <c r="C23" s="10">
        <v>0</v>
      </c>
      <c r="D23" s="10">
        <v>0</v>
      </c>
      <c r="E23" s="10">
        <v>0</v>
      </c>
      <c r="F23" s="10">
        <v>0</v>
      </c>
      <c r="G23" s="10">
        <v>0</v>
      </c>
      <c r="H23" s="10">
        <v>0</v>
      </c>
      <c r="I23" s="10">
        <v>0</v>
      </c>
      <c r="J23" s="10">
        <v>0</v>
      </c>
      <c r="K23" s="11">
        <v>0</v>
      </c>
      <c r="L23" s="11">
        <v>0</v>
      </c>
      <c r="M23" s="11">
        <v>0</v>
      </c>
      <c r="N23" s="11">
        <v>0</v>
      </c>
      <c r="O23" s="11">
        <v>0</v>
      </c>
      <c r="P23" s="11">
        <v>0</v>
      </c>
      <c r="Q23" s="11">
        <v>0</v>
      </c>
      <c r="R23" s="11">
        <v>0</v>
      </c>
      <c r="S23" s="11">
        <v>0</v>
      </c>
      <c r="T23" s="11">
        <v>0</v>
      </c>
      <c r="U23" s="11">
        <v>0</v>
      </c>
      <c r="V23" s="11">
        <v>0</v>
      </c>
      <c r="W23" s="11">
        <v>0</v>
      </c>
    </row>
    <row r="24" ht="27.0833320617676" customHeight="1">
      <c r="A24" s="6" t="s">
        <v>66</v>
      </c>
      <c r="B24" s="7" t="s">
        <v>67</v>
      </c>
      <c r="C24" s="10">
        <v>0</v>
      </c>
      <c r="D24" s="10">
        <v>0</v>
      </c>
      <c r="E24" s="10">
        <v>0</v>
      </c>
      <c r="F24" s="10">
        <v>0</v>
      </c>
      <c r="G24" s="10">
        <v>0</v>
      </c>
      <c r="H24" s="10">
        <v>0</v>
      </c>
      <c r="I24" s="10">
        <v>0</v>
      </c>
      <c r="J24" s="10">
        <v>0</v>
      </c>
      <c r="K24" s="11">
        <v>0</v>
      </c>
      <c r="L24" s="11">
        <v>0</v>
      </c>
      <c r="M24" s="11">
        <v>0</v>
      </c>
      <c r="N24" s="11">
        <v>0</v>
      </c>
      <c r="O24" s="11">
        <v>0</v>
      </c>
      <c r="P24" s="11">
        <v>0</v>
      </c>
      <c r="Q24" s="11">
        <v>0</v>
      </c>
      <c r="R24" s="11">
        <v>0</v>
      </c>
      <c r="S24" s="11">
        <v>0</v>
      </c>
      <c r="T24" s="11">
        <v>0</v>
      </c>
      <c r="U24" s="11">
        <v>0</v>
      </c>
      <c r="V24" s="11">
        <v>0</v>
      </c>
      <c r="W24" s="11">
        <v>0</v>
      </c>
    </row>
    <row r="25" ht="0" hidden="1">
      <c r="A25" s="6" t="s">
        <v>68</v>
      </c>
      <c r="B25" s="7" t="s">
        <v>40</v>
      </c>
      <c r="C25" s="8">
        <v>20490235.8</v>
      </c>
      <c r="D25" s="8">
        <v>20989107.79</v>
      </c>
      <c r="E25" s="8">
        <v>23350626.95</v>
      </c>
      <c r="F25" s="8">
        <v>25175460.45</v>
      </c>
      <c r="G25" s="8">
        <v>27050759.22</v>
      </c>
      <c r="H25" s="8">
        <v>32284486.75</v>
      </c>
      <c r="I25" s="8">
        <v>26732199.28</v>
      </c>
      <c r="J25" s="8">
        <v>27168830.5</v>
      </c>
      <c r="K25" s="9">
        <v>45077110.8</v>
      </c>
      <c r="L25" s="9">
        <v>31549698</v>
      </c>
      <c r="M25" s="9">
        <v>32038718</v>
      </c>
      <c r="N25" s="9">
        <v>32455221</v>
      </c>
      <c r="O25" s="9">
        <v>32860911</v>
      </c>
      <c r="P25" s="9">
        <v>33682434</v>
      </c>
      <c r="Q25" s="9">
        <v>34524495</v>
      </c>
      <c r="R25" s="9">
        <v>35387607</v>
      </c>
      <c r="S25" s="9">
        <v>36272297</v>
      </c>
      <c r="T25" s="9">
        <v>37179104</v>
      </c>
      <c r="U25" s="9">
        <v>38108582</v>
      </c>
      <c r="V25" s="9">
        <v>39061297</v>
      </c>
      <c r="W25" s="9">
        <v>40037829</v>
      </c>
    </row>
    <row r="26" ht="14.2083320617676" customHeight="1">
      <c r="A26" s="2" t="s">
        <v>69</v>
      </c>
      <c r="B26" s="3" t="s">
        <v>70</v>
      </c>
      <c r="C26" s="4">
        <f>=IF(ISNUMBER(VLOOKUP("2.2.1",A2:W103,3,FALSE)),ROUND(VLOOKUP("2.2.1",A2:W103,3,FALSE),4),0) + IF(ISNUMBER(VLOOKUP("2.2.x",A2:W103,3,FALSE)),ROUND(VLOOKUP("2.2.x",A2:W103,3,FALSE),4),0)</f>
      </c>
      <c r="D26" s="4">
        <f>=IF(ISNUMBER(VLOOKUP("2.2.1",A2:W103,4,FALSE)),ROUND(VLOOKUP("2.2.1",A2:W103,4,FALSE),4),0) + IF(ISNUMBER(VLOOKUP("2.2.x",A2:W103,4,FALSE)),ROUND(VLOOKUP("2.2.x",A2:W103,4,FALSE),4),0)</f>
      </c>
      <c r="E26" s="4">
        <f>=IF(ISNUMBER(VLOOKUP("2.2.1",A2:W103,5,FALSE)),ROUND(VLOOKUP("2.2.1",A2:W103,5,FALSE),4),0) + IF(ISNUMBER(VLOOKUP("2.2.x",A2:W103,5,FALSE)),ROUND(VLOOKUP("2.2.x",A2:W103,5,FALSE),4),0)</f>
      </c>
      <c r="F26" s="4">
        <f>=IF(ISNUMBER(VLOOKUP("2.2.1",A2:W103,6,FALSE)),ROUND(VLOOKUP("2.2.1",A2:W103,6,FALSE),4),0) + IF(ISNUMBER(VLOOKUP("2.2.x",A2:W103,6,FALSE)),ROUND(VLOOKUP("2.2.x",A2:W103,6,FALSE),4),0)</f>
      </c>
      <c r="G26" s="4">
        <f>=IF(ISNUMBER(VLOOKUP("2.2.1",A2:W103,7,FALSE)),ROUND(VLOOKUP("2.2.1",A2:W103,7,FALSE),4),0) + IF(ISNUMBER(VLOOKUP("2.2.x",A2:W103,7,FALSE)),ROUND(VLOOKUP("2.2.x",A2:W103,7,FALSE),4),0)</f>
      </c>
      <c r="H26" s="4">
        <f>=IF(ISNUMBER(VLOOKUP("2.2.1",A2:W103,8,FALSE)),ROUND(VLOOKUP("2.2.1",A2:W103,8,FALSE),4),0) + IF(ISNUMBER(VLOOKUP("2.2.x",A2:W103,8,FALSE)),ROUND(VLOOKUP("2.2.x",A2:W103,8,FALSE),4),0)</f>
      </c>
      <c r="I26" s="4">
        <f>=IF(ISNUMBER(VLOOKUP("2.2.1",A2:W103,9,FALSE)),ROUND(VLOOKUP("2.2.1",A2:W103,9,FALSE),4),0) + IF(ISNUMBER(VLOOKUP("2.2.x",A2:W103,9,FALSE)),ROUND(VLOOKUP("2.2.x",A2:W103,9,FALSE),4),0)</f>
      </c>
      <c r="J26" s="4">
        <f>=IF(ISNUMBER(VLOOKUP("2.2.1",A2:W103,10,FALSE)),ROUND(VLOOKUP("2.2.1",A2:W103,10,FALSE),4),0) + IF(ISNUMBER(VLOOKUP("2.2.x",A2:W103,10,FALSE)),ROUND(VLOOKUP("2.2.x",A2:W103,10,FALSE),4),0)</f>
      </c>
      <c r="K26" s="5">
        <f>=IF(ISNUMBER(VLOOKUP("2.2.1",A2:W103,11,FALSE)),ROUND(VLOOKUP("2.2.1",A2:W103,11,FALSE),4),0) + IF(ISNUMBER(VLOOKUP("2.2.x",A2:W103,11,FALSE)),ROUND(VLOOKUP("2.2.x",A2:W103,11,FALSE),4),0)</f>
      </c>
      <c r="L26" s="5">
        <f>=IF(ISNUMBER(VLOOKUP("2.2.1",A2:W103,12,FALSE)),ROUND(VLOOKUP("2.2.1",A2:W103,12,FALSE),4),0) + IF(ISNUMBER(VLOOKUP("2.2.x",A2:W103,12,FALSE)),ROUND(VLOOKUP("2.2.x",A2:W103,12,FALSE),4),0)</f>
      </c>
      <c r="M26" s="5">
        <f>=IF(ISNUMBER(VLOOKUP("2.2.1",A2:W103,13,FALSE)),ROUND(VLOOKUP("2.2.1",A2:W103,13,FALSE),4),0) + IF(ISNUMBER(VLOOKUP("2.2.x",A2:W103,13,FALSE)),ROUND(VLOOKUP("2.2.x",A2:W103,13,FALSE),4),0)</f>
      </c>
      <c r="N26" s="5">
        <f>=IF(ISNUMBER(VLOOKUP("2.2.1",A2:W103,14,FALSE)),ROUND(VLOOKUP("2.2.1",A2:W103,14,FALSE),4),0) + IF(ISNUMBER(VLOOKUP("2.2.x",A2:W103,14,FALSE)),ROUND(VLOOKUP("2.2.x",A2:W103,14,FALSE),4),0)</f>
      </c>
      <c r="O26" s="5">
        <f>=IF(ISNUMBER(VLOOKUP("2.2.1",A2:W103,15,FALSE)),ROUND(VLOOKUP("2.2.1",A2:W103,15,FALSE),4),0) + IF(ISNUMBER(VLOOKUP("2.2.x",A2:W103,15,FALSE)),ROUND(VLOOKUP("2.2.x",A2:W103,15,FALSE),4),0)</f>
      </c>
      <c r="P26" s="5">
        <f>=IF(ISNUMBER(VLOOKUP("2.2.1",A2:W103,16,FALSE)),ROUND(VLOOKUP("2.2.1",A2:W103,16,FALSE),4),0) + IF(ISNUMBER(VLOOKUP("2.2.x",A2:W103,16,FALSE)),ROUND(VLOOKUP("2.2.x",A2:W103,16,FALSE),4),0)</f>
      </c>
      <c r="Q26" s="5">
        <f>=IF(ISNUMBER(VLOOKUP("2.2.1",A2:W103,17,FALSE)),ROUND(VLOOKUP("2.2.1",A2:W103,17,FALSE),4),0) + IF(ISNUMBER(VLOOKUP("2.2.x",A2:W103,17,FALSE)),ROUND(VLOOKUP("2.2.x",A2:W103,17,FALSE),4),0)</f>
      </c>
      <c r="R26" s="5">
        <f>=IF(ISNUMBER(VLOOKUP("2.2.1",A2:W103,18,FALSE)),ROUND(VLOOKUP("2.2.1",A2:W103,18,FALSE),4),0) + IF(ISNUMBER(VLOOKUP("2.2.x",A2:W103,18,FALSE)),ROUND(VLOOKUP("2.2.x",A2:W103,18,FALSE),4),0)</f>
      </c>
      <c r="S26" s="5">
        <f>=IF(ISNUMBER(VLOOKUP("2.2.1",A2:W103,19,FALSE)),ROUND(VLOOKUP("2.2.1",A2:W103,19,FALSE),4),0) + IF(ISNUMBER(VLOOKUP("2.2.x",A2:W103,19,FALSE)),ROUND(VLOOKUP("2.2.x",A2:W103,19,FALSE),4),0)</f>
      </c>
      <c r="T26" s="5">
        <f>=IF(ISNUMBER(VLOOKUP("2.2.1",A2:W103,20,FALSE)),ROUND(VLOOKUP("2.2.1",A2:W103,20,FALSE),4),0) + IF(ISNUMBER(VLOOKUP("2.2.x",A2:W103,20,FALSE)),ROUND(VLOOKUP("2.2.x",A2:W103,20,FALSE),4),0)</f>
      </c>
      <c r="U26" s="5">
        <f>=IF(ISNUMBER(VLOOKUP("2.2.1",A2:W103,21,FALSE)),ROUND(VLOOKUP("2.2.1",A2:W103,21,FALSE),4),0) + IF(ISNUMBER(VLOOKUP("2.2.x",A2:W103,21,FALSE)),ROUND(VLOOKUP("2.2.x",A2:W103,21,FALSE),4),0)</f>
      </c>
      <c r="V26" s="5">
        <f>=IF(ISNUMBER(VLOOKUP("2.2.1",A2:W103,22,FALSE)),ROUND(VLOOKUP("2.2.1",A2:W103,22,FALSE),4),0) + IF(ISNUMBER(VLOOKUP("2.2.x",A2:W103,22,FALSE)),ROUND(VLOOKUP("2.2.x",A2:W103,22,FALSE),4),0)</f>
      </c>
      <c r="W26" s="5">
        <f>=IF(ISNUMBER(VLOOKUP("2.2.1",A2:W103,23,FALSE)),ROUND(VLOOKUP("2.2.1",A2:W103,23,FALSE),4),0) + IF(ISNUMBER(VLOOKUP("2.2.x",A2:W103,23,FALSE)),ROUND(VLOOKUP("2.2.x",A2:W103,23,FALSE),4),0)</f>
      </c>
    </row>
    <row r="27" ht="27.0833320617676" customHeight="1">
      <c r="A27" s="6" t="s">
        <v>71</v>
      </c>
      <c r="B27" s="7" t="s">
        <v>72</v>
      </c>
      <c r="C27" s="8">
        <v>4161588.59</v>
      </c>
      <c r="D27" s="8">
        <v>6288305.54</v>
      </c>
      <c r="E27" s="8">
        <v>5915158.96</v>
      </c>
      <c r="F27" s="8">
        <v>6826609.25</v>
      </c>
      <c r="G27" s="8">
        <v>14243452.74</v>
      </c>
      <c r="H27" s="8">
        <v>21711024.92</v>
      </c>
      <c r="I27" s="8">
        <v>49479553.33</v>
      </c>
      <c r="J27" s="8">
        <v>12183588.77</v>
      </c>
      <c r="K27" s="9">
        <v>25231791.65</v>
      </c>
      <c r="L27" s="9">
        <v>3173939.58</v>
      </c>
      <c r="M27" s="9">
        <v>6823666</v>
      </c>
      <c r="N27" s="9">
        <v>6914238</v>
      </c>
      <c r="O27" s="9">
        <v>7762449.98</v>
      </c>
      <c r="P27" s="9">
        <v>8591503</v>
      </c>
      <c r="Q27" s="9">
        <v>9420480</v>
      </c>
      <c r="R27" s="9">
        <v>9540529.18</v>
      </c>
      <c r="S27" s="9">
        <v>9769147</v>
      </c>
      <c r="T27" s="9">
        <v>9987544</v>
      </c>
      <c r="U27" s="9">
        <v>10331279</v>
      </c>
      <c r="V27" s="9">
        <v>10605581</v>
      </c>
      <c r="W27" s="9">
        <v>11982646</v>
      </c>
    </row>
    <row r="28" ht="27.0833320617676" customHeight="1">
      <c r="A28" s="6" t="s">
        <v>73</v>
      </c>
      <c r="B28" s="7" t="s">
        <v>74</v>
      </c>
      <c r="C28" s="8">
        <v>520902.4</v>
      </c>
      <c r="D28" s="8">
        <v>38551.25</v>
      </c>
      <c r="E28" s="8">
        <v>15000</v>
      </c>
      <c r="F28" s="8">
        <v>371636.4</v>
      </c>
      <c r="G28" s="8">
        <v>0</v>
      </c>
      <c r="H28" s="8">
        <v>61870.25</v>
      </c>
      <c r="I28" s="8">
        <v>171462</v>
      </c>
      <c r="J28" s="8">
        <v>0</v>
      </c>
      <c r="K28" s="9">
        <v>2496820.5</v>
      </c>
      <c r="L28" s="9">
        <v>0</v>
      </c>
      <c r="M28" s="9">
        <v>0</v>
      </c>
      <c r="N28" s="9">
        <v>0</v>
      </c>
      <c r="O28" s="9">
        <v>0</v>
      </c>
      <c r="P28" s="9">
        <v>0</v>
      </c>
      <c r="Q28" s="9">
        <v>0</v>
      </c>
      <c r="R28" s="9">
        <v>0</v>
      </c>
      <c r="S28" s="9">
        <v>0</v>
      </c>
      <c r="T28" s="9">
        <v>0</v>
      </c>
      <c r="U28" s="9">
        <v>0</v>
      </c>
      <c r="V28" s="9">
        <v>0</v>
      </c>
      <c r="W28" s="9">
        <v>0</v>
      </c>
    </row>
    <row r="29" ht="0" hidden="1">
      <c r="A29" s="6" t="s">
        <v>75</v>
      </c>
      <c r="B29" s="7" t="s">
        <v>40</v>
      </c>
      <c r="C29" s="8">
        <v>0</v>
      </c>
      <c r="D29" s="8">
        <v>0</v>
      </c>
      <c r="E29" s="8">
        <v>0</v>
      </c>
      <c r="F29" s="8">
        <v>0</v>
      </c>
      <c r="G29" s="8">
        <v>574000</v>
      </c>
      <c r="H29" s="8">
        <v>0</v>
      </c>
      <c r="I29" s="8">
        <v>0</v>
      </c>
      <c r="J29" s="8">
        <v>0</v>
      </c>
      <c r="K29" s="9">
        <v>0</v>
      </c>
      <c r="L29" s="9">
        <v>0</v>
      </c>
      <c r="M29" s="9">
        <v>0</v>
      </c>
      <c r="N29" s="9">
        <v>0</v>
      </c>
      <c r="O29" s="9">
        <v>0</v>
      </c>
      <c r="P29" s="9">
        <v>0</v>
      </c>
      <c r="Q29" s="9">
        <v>0</v>
      </c>
      <c r="R29" s="9">
        <v>0</v>
      </c>
      <c r="S29" s="9">
        <v>0</v>
      </c>
      <c r="T29" s="9">
        <v>0</v>
      </c>
      <c r="U29" s="9">
        <v>0</v>
      </c>
      <c r="V29" s="9">
        <v>0</v>
      </c>
      <c r="W29" s="9">
        <v>0</v>
      </c>
    </row>
    <row r="30" ht="14.2083320617676" customHeight="1">
      <c r="A30" s="2" t="s">
        <v>76</v>
      </c>
      <c r="B30" s="3" t="s">
        <v>77</v>
      </c>
      <c r="C30" s="4">
        <f>=IF(ISNUMBER(VLOOKUP("1",A2:W103,3,FALSE)),ROUND(VLOOKUP("1",A2:W103,3,FALSE),4),0) - IF(ISNUMBER(VLOOKUP("2",A2:W103,3,FALSE)),ROUND(VLOOKUP("2",A2:W103,3,FALSE),4),0)</f>
      </c>
      <c r="D30" s="4">
        <f>=IF(ISNUMBER(VLOOKUP("1",A2:W103,4,FALSE)),ROUND(VLOOKUP("1",A2:W103,4,FALSE),4),0) - IF(ISNUMBER(VLOOKUP("2",A2:W103,4,FALSE)),ROUND(VLOOKUP("2",A2:W103,4,FALSE),4),0)</f>
      </c>
      <c r="E30" s="4">
        <f>=IF(ISNUMBER(VLOOKUP("1",A2:W103,5,FALSE)),ROUND(VLOOKUP("1",A2:W103,5,FALSE),4),0) - IF(ISNUMBER(VLOOKUP("2",A2:W103,5,FALSE)),ROUND(VLOOKUP("2",A2:W103,5,FALSE),4),0)</f>
      </c>
      <c r="F30" s="4">
        <f>=IF(ISNUMBER(VLOOKUP("1",A2:W103,6,FALSE)),ROUND(VLOOKUP("1",A2:W103,6,FALSE),4),0) - IF(ISNUMBER(VLOOKUP("2",A2:W103,6,FALSE)),ROUND(VLOOKUP("2",A2:W103,6,FALSE),4),0)</f>
      </c>
      <c r="G30" s="4">
        <f>=IF(ISNUMBER(VLOOKUP("1",A2:W103,7,FALSE)),ROUND(VLOOKUP("1",A2:W103,7,FALSE),4),0) - IF(ISNUMBER(VLOOKUP("2",A2:W103,7,FALSE)),ROUND(VLOOKUP("2",A2:W103,7,FALSE),4),0)</f>
      </c>
      <c r="H30" s="4">
        <f>=IF(ISNUMBER(VLOOKUP("1",A2:W103,8,FALSE)),ROUND(VLOOKUP("1",A2:W103,8,FALSE),4),0) - IF(ISNUMBER(VLOOKUP("2",A2:W103,8,FALSE)),ROUND(VLOOKUP("2",A2:W103,8,FALSE),4),0)</f>
      </c>
      <c r="I30" s="4">
        <f>=IF(ISNUMBER(VLOOKUP("1",A2:W103,9,FALSE)),ROUND(VLOOKUP("1",A2:W103,9,FALSE),4),0) - IF(ISNUMBER(VLOOKUP("2",A2:W103,9,FALSE)),ROUND(VLOOKUP("2",A2:W103,9,FALSE),4),0)</f>
      </c>
      <c r="J30" s="4">
        <f>=IF(ISNUMBER(VLOOKUP("1",A2:W103,10,FALSE)),ROUND(VLOOKUP("1",A2:W103,10,FALSE),4),0) - IF(ISNUMBER(VLOOKUP("2",A2:W103,10,FALSE)),ROUND(VLOOKUP("2",A2:W103,10,FALSE),4),0)</f>
      </c>
      <c r="K30" s="5">
        <f>=IF(ISNUMBER(VLOOKUP("1",A2:W103,11,FALSE)),ROUND(VLOOKUP("1",A2:W103,11,FALSE),4),0) - IF(ISNUMBER(VLOOKUP("2",A2:W103,11,FALSE)),ROUND(VLOOKUP("2",A2:W103,11,FALSE),4),0)</f>
      </c>
      <c r="L30" s="5">
        <f>=IF(ISNUMBER(VLOOKUP("1",A2:W103,12,FALSE)),ROUND(VLOOKUP("1",A2:W103,12,FALSE),4),0) - IF(ISNUMBER(VLOOKUP("2",A2:W103,12,FALSE)),ROUND(VLOOKUP("2",A2:W103,12,FALSE),4),0)</f>
      </c>
      <c r="M30" s="5">
        <f>=IF(ISNUMBER(VLOOKUP("1",A2:W103,13,FALSE)),ROUND(VLOOKUP("1",A2:W103,13,FALSE),4),0) - IF(ISNUMBER(VLOOKUP("2",A2:W103,13,FALSE)),ROUND(VLOOKUP("2",A2:W103,13,FALSE),4),0)</f>
      </c>
      <c r="N30" s="5">
        <f>=IF(ISNUMBER(VLOOKUP("1",A2:W103,14,FALSE)),ROUND(VLOOKUP("1",A2:W103,14,FALSE),4),0) - IF(ISNUMBER(VLOOKUP("2",A2:W103,14,FALSE)),ROUND(VLOOKUP("2",A2:W103,14,FALSE),4),0)</f>
      </c>
      <c r="O30" s="5">
        <f>=IF(ISNUMBER(VLOOKUP("1",A2:W103,15,FALSE)),ROUND(VLOOKUP("1",A2:W103,15,FALSE),4),0) - IF(ISNUMBER(VLOOKUP("2",A2:W103,15,FALSE)),ROUND(VLOOKUP("2",A2:W103,15,FALSE),4),0)</f>
      </c>
      <c r="P30" s="5">
        <f>=IF(ISNUMBER(VLOOKUP("1",A2:W103,16,FALSE)),ROUND(VLOOKUP("1",A2:W103,16,FALSE),4),0) - IF(ISNUMBER(VLOOKUP("2",A2:W103,16,FALSE)),ROUND(VLOOKUP("2",A2:W103,16,FALSE),4),0)</f>
      </c>
      <c r="Q30" s="5">
        <f>=IF(ISNUMBER(VLOOKUP("1",A2:W103,17,FALSE)),ROUND(VLOOKUP("1",A2:W103,17,FALSE),4),0) - IF(ISNUMBER(VLOOKUP("2",A2:W103,17,FALSE)),ROUND(VLOOKUP("2",A2:W103,17,FALSE),4),0)</f>
      </c>
      <c r="R30" s="5">
        <f>=IF(ISNUMBER(VLOOKUP("1",A2:W103,18,FALSE)),ROUND(VLOOKUP("1",A2:W103,18,FALSE),4),0) - IF(ISNUMBER(VLOOKUP("2",A2:W103,18,FALSE)),ROUND(VLOOKUP("2",A2:W103,18,FALSE),4),0)</f>
      </c>
      <c r="S30" s="5">
        <f>=IF(ISNUMBER(VLOOKUP("1",A2:W103,19,FALSE)),ROUND(VLOOKUP("1",A2:W103,19,FALSE),4),0) - IF(ISNUMBER(VLOOKUP("2",A2:W103,19,FALSE)),ROUND(VLOOKUP("2",A2:W103,19,FALSE),4),0)</f>
      </c>
      <c r="T30" s="5">
        <f>=IF(ISNUMBER(VLOOKUP("1",A2:W103,20,FALSE)),ROUND(VLOOKUP("1",A2:W103,20,FALSE),4),0) - IF(ISNUMBER(VLOOKUP("2",A2:W103,20,FALSE)),ROUND(VLOOKUP("2",A2:W103,20,FALSE),4),0)</f>
      </c>
      <c r="U30" s="5">
        <f>=IF(ISNUMBER(VLOOKUP("1",A2:W103,21,FALSE)),ROUND(VLOOKUP("1",A2:W103,21,FALSE),4),0) - IF(ISNUMBER(VLOOKUP("2",A2:W103,21,FALSE)),ROUND(VLOOKUP("2",A2:W103,21,FALSE),4),0)</f>
      </c>
      <c r="V30" s="5">
        <f>=IF(ISNUMBER(VLOOKUP("1",A2:W103,22,FALSE)),ROUND(VLOOKUP("1",A2:W103,22,FALSE),4),0) - IF(ISNUMBER(VLOOKUP("2",A2:W103,22,FALSE)),ROUND(VLOOKUP("2",A2:W103,22,FALSE),4),0)</f>
      </c>
      <c r="W30" s="5">
        <f>=IF(ISNUMBER(VLOOKUP("1",A2:W103,23,FALSE)),ROUND(VLOOKUP("1",A2:W103,23,FALSE),4),0) - IF(ISNUMBER(VLOOKUP("2",A2:W103,23,FALSE)),ROUND(VLOOKUP("2",A2:W103,23,FALSE),4),0)</f>
      </c>
    </row>
    <row r="31" ht="27.0833320617676" customHeight="1">
      <c r="A31" s="6" t="s">
        <v>78</v>
      </c>
      <c r="B31" s="7" t="s">
        <v>79</v>
      </c>
      <c r="C31" s="10">
        <f>=IF(IF(ISNUMBER(VLOOKUP("3",A2:W103,3,FALSE)),ROUND(VLOOKUP("3",A2:W103,3,FALSE),4),0)&gt;0,IF(IF(ISNUMBER(VLOOKUP("3",A2:W103,3,FALSE)),ROUND(VLOOKUP("3",A2:W103,3,FALSE),4),0)&gt;IF(ISNUMBER(VLOOKUP("5.1",A2:W103,3,FALSE)),ROUND(VLOOKUP("5.1",A2:W103,3,FALSE),4),0),IF(ISNUMBER(VLOOKUP("5.1",A2:W103,3,FALSE)),ROUND(VLOOKUP("5.1",A2:W103,3,FALSE),4),0),IF(ISNUMBER(VLOOKUP("3",A2:W103,3,FALSE)),ROUND(VLOOKUP("3",A2:W103,3,FALSE),4),0)),0)</f>
      </c>
      <c r="D31" s="10">
        <f>=IF(IF(ISNUMBER(VLOOKUP("3",A2:W103,4,FALSE)),ROUND(VLOOKUP("3",A2:W103,4,FALSE),4),0)&gt;0,IF(IF(ISNUMBER(VLOOKUP("3",A2:W103,4,FALSE)),ROUND(VLOOKUP("3",A2:W103,4,FALSE),4),0)&gt;IF(ISNUMBER(VLOOKUP("5.1",A2:W103,4,FALSE)),ROUND(VLOOKUP("5.1",A2:W103,4,FALSE),4),0),IF(ISNUMBER(VLOOKUP("5.1",A2:W103,4,FALSE)),ROUND(VLOOKUP("5.1",A2:W103,4,FALSE),4),0),IF(ISNUMBER(VLOOKUP("3",A2:W103,4,FALSE)),ROUND(VLOOKUP("3",A2:W103,4,FALSE),4),0)),0)</f>
      </c>
      <c r="E31" s="10">
        <f>=IF(IF(ISNUMBER(VLOOKUP("3",A2:W103,5,FALSE)),ROUND(VLOOKUP("3",A2:W103,5,FALSE),4),0)&gt;0,IF(IF(ISNUMBER(VLOOKUP("3",A2:W103,5,FALSE)),ROUND(VLOOKUP("3",A2:W103,5,FALSE),4),0)&gt;IF(ISNUMBER(VLOOKUP("5.1",A2:W103,5,FALSE)),ROUND(VLOOKUP("5.1",A2:W103,5,FALSE),4),0),IF(ISNUMBER(VLOOKUP("5.1",A2:W103,5,FALSE)),ROUND(VLOOKUP("5.1",A2:W103,5,FALSE),4),0),IF(ISNUMBER(VLOOKUP("3",A2:W103,5,FALSE)),ROUND(VLOOKUP("3",A2:W103,5,FALSE),4),0)),0)</f>
      </c>
      <c r="F31" s="10">
        <f>=IF(IF(ISNUMBER(VLOOKUP("3",A2:W103,6,FALSE)),ROUND(VLOOKUP("3",A2:W103,6,FALSE),4),0)&gt;0,IF(IF(ISNUMBER(VLOOKUP("3",A2:W103,6,FALSE)),ROUND(VLOOKUP("3",A2:W103,6,FALSE),4),0)&gt;IF(ISNUMBER(VLOOKUP("5.1",A2:W103,6,FALSE)),ROUND(VLOOKUP("5.1",A2:W103,6,FALSE),4),0),IF(ISNUMBER(VLOOKUP("5.1",A2:W103,6,FALSE)),ROUND(VLOOKUP("5.1",A2:W103,6,FALSE),4),0),IF(ISNUMBER(VLOOKUP("3",A2:W103,6,FALSE)),ROUND(VLOOKUP("3",A2:W103,6,FALSE),4),0)),0)</f>
      </c>
      <c r="G31" s="10">
        <f>=IF(IF(ISNUMBER(VLOOKUP("3",A2:W103,7,FALSE)),ROUND(VLOOKUP("3",A2:W103,7,FALSE),4),0)&gt;0,IF(IF(ISNUMBER(VLOOKUP("3",A2:W103,7,FALSE)),ROUND(VLOOKUP("3",A2:W103,7,FALSE),4),0)&gt;IF(ISNUMBER(VLOOKUP("5.1",A2:W103,7,FALSE)),ROUND(VLOOKUP("5.1",A2:W103,7,FALSE),4),0),IF(ISNUMBER(VLOOKUP("5.1",A2:W103,7,FALSE)),ROUND(VLOOKUP("5.1",A2:W103,7,FALSE),4),0),IF(ISNUMBER(VLOOKUP("3",A2:W103,7,FALSE)),ROUND(VLOOKUP("3",A2:W103,7,FALSE),4),0)),0)</f>
      </c>
      <c r="H31" s="10">
        <f>=IF(IF(ISNUMBER(VLOOKUP("3",A2:W103,8,FALSE)),ROUND(VLOOKUP("3",A2:W103,8,FALSE),4),0)&gt;0,IF(IF(ISNUMBER(VLOOKUP("3",A2:W103,8,FALSE)),ROUND(VLOOKUP("3",A2:W103,8,FALSE),4),0)&gt;IF(ISNUMBER(VLOOKUP("5.1",A2:W103,8,FALSE)),ROUND(VLOOKUP("5.1",A2:W103,8,FALSE),4),0),IF(ISNUMBER(VLOOKUP("5.1",A2:W103,8,FALSE)),ROUND(VLOOKUP("5.1",A2:W103,8,FALSE),4),0),IF(ISNUMBER(VLOOKUP("3",A2:W103,8,FALSE)),ROUND(VLOOKUP("3",A2:W103,8,FALSE),4),0)),0)</f>
      </c>
      <c r="I31" s="10">
        <f>=IF(IF(ISNUMBER(VLOOKUP("3",A2:W103,9,FALSE)),ROUND(VLOOKUP("3",A2:W103,9,FALSE),4),0)&gt;0,IF(IF(ISNUMBER(VLOOKUP("3",A2:W103,9,FALSE)),ROUND(VLOOKUP("3",A2:W103,9,FALSE),4),0)&gt;IF(ISNUMBER(VLOOKUP("5.1",A2:W103,9,FALSE)),ROUND(VLOOKUP("5.1",A2:W103,9,FALSE),4),0),IF(ISNUMBER(VLOOKUP("5.1",A2:W103,9,FALSE)),ROUND(VLOOKUP("5.1",A2:W103,9,FALSE),4),0),IF(ISNUMBER(VLOOKUP("3",A2:W103,9,FALSE)),ROUND(VLOOKUP("3",A2:W103,9,FALSE),4),0)),0)</f>
      </c>
      <c r="J31" s="10">
        <f>=IF(IF(ISNUMBER(VLOOKUP("3",A2:W103,10,FALSE)),ROUND(VLOOKUP("3",A2:W103,10,FALSE),4),0)&gt;0,IF(IF(ISNUMBER(VLOOKUP("3",A2:W103,10,FALSE)),ROUND(VLOOKUP("3",A2:W103,10,FALSE),4),0)&gt;IF(ISNUMBER(VLOOKUP("5.1",A2:W103,10,FALSE)),ROUND(VLOOKUP("5.1",A2:W103,10,FALSE),4),0),IF(ISNUMBER(VLOOKUP("5.1",A2:W103,10,FALSE)),ROUND(VLOOKUP("5.1",A2:W103,10,FALSE),4),0),IF(ISNUMBER(VLOOKUP("3",A2:W103,10,FALSE)),ROUND(VLOOKUP("3",A2:W103,10,FALSE),4),0)),0)</f>
      </c>
      <c r="K31" s="11">
        <f>=IF(IF(ISNUMBER(VLOOKUP("3",A2:W103,11,FALSE)),ROUND(VLOOKUP("3",A2:W103,11,FALSE),4),0)&gt;0,IF(IF(ISNUMBER(VLOOKUP("3",A2:W103,11,FALSE)),ROUND(VLOOKUP("3",A2:W103,11,FALSE),4),0)&gt;IF(ISNUMBER(VLOOKUP("5.1",A2:W103,11,FALSE)),ROUND(VLOOKUP("5.1",A2:W103,11,FALSE),4),0),IF(ISNUMBER(VLOOKUP("5.1",A2:W103,11,FALSE)),ROUND(VLOOKUP("5.1",A2:W103,11,FALSE),4),0),IF(ISNUMBER(VLOOKUP("3",A2:W103,11,FALSE)),ROUND(VLOOKUP("3",A2:W103,11,FALSE),4),0)),0)</f>
      </c>
      <c r="L31" s="11">
        <f>=IF(IF(ISNUMBER(VLOOKUP("3",A2:W103,12,FALSE)),ROUND(VLOOKUP("3",A2:W103,12,FALSE),4),0)&gt;0,IF(IF(ISNUMBER(VLOOKUP("3",A2:W103,12,FALSE)),ROUND(VLOOKUP("3",A2:W103,12,FALSE),4),0)&gt;IF(ISNUMBER(VLOOKUP("5.1",A2:W103,12,FALSE)),ROUND(VLOOKUP("5.1",A2:W103,12,FALSE),4),0),IF(ISNUMBER(VLOOKUP("5.1",A2:W103,12,FALSE)),ROUND(VLOOKUP("5.1",A2:W103,12,FALSE),4),0),IF(ISNUMBER(VLOOKUP("3",A2:W103,12,FALSE)),ROUND(VLOOKUP("3",A2:W103,12,FALSE),4),0)),0)</f>
      </c>
      <c r="M31" s="11">
        <f>=IF(IF(ISNUMBER(VLOOKUP("3",A2:W103,13,FALSE)),ROUND(VLOOKUP("3",A2:W103,13,FALSE),4),0)&gt;0,IF(IF(ISNUMBER(VLOOKUP("3",A2:W103,13,FALSE)),ROUND(VLOOKUP("3",A2:W103,13,FALSE),4),0)&gt;IF(ISNUMBER(VLOOKUP("5.1",A2:W103,13,FALSE)),ROUND(VLOOKUP("5.1",A2:W103,13,FALSE),4),0),IF(ISNUMBER(VLOOKUP("5.1",A2:W103,13,FALSE)),ROUND(VLOOKUP("5.1",A2:W103,13,FALSE),4),0),IF(ISNUMBER(VLOOKUP("3",A2:W103,13,FALSE)),ROUND(VLOOKUP("3",A2:W103,13,FALSE),4),0)),0)</f>
      </c>
      <c r="N31" s="11">
        <f>=IF(IF(ISNUMBER(VLOOKUP("3",A2:W103,14,FALSE)),ROUND(VLOOKUP("3",A2:W103,14,FALSE),4),0)&gt;0,IF(IF(ISNUMBER(VLOOKUP("3",A2:W103,14,FALSE)),ROUND(VLOOKUP("3",A2:W103,14,FALSE),4),0)&gt;IF(ISNUMBER(VLOOKUP("5.1",A2:W103,14,FALSE)),ROUND(VLOOKUP("5.1",A2:W103,14,FALSE),4),0),IF(ISNUMBER(VLOOKUP("5.1",A2:W103,14,FALSE)),ROUND(VLOOKUP("5.1",A2:W103,14,FALSE),4),0),IF(ISNUMBER(VLOOKUP("3",A2:W103,14,FALSE)),ROUND(VLOOKUP("3",A2:W103,14,FALSE),4),0)),0)</f>
      </c>
      <c r="O31" s="11">
        <f>=IF(IF(ISNUMBER(VLOOKUP("3",A2:W103,15,FALSE)),ROUND(VLOOKUP("3",A2:W103,15,FALSE),4),0)&gt;0,IF(IF(ISNUMBER(VLOOKUP("3",A2:W103,15,FALSE)),ROUND(VLOOKUP("3",A2:W103,15,FALSE),4),0)&gt;IF(ISNUMBER(VLOOKUP("5.1",A2:W103,15,FALSE)),ROUND(VLOOKUP("5.1",A2:W103,15,FALSE),4),0),IF(ISNUMBER(VLOOKUP("5.1",A2:W103,15,FALSE)),ROUND(VLOOKUP("5.1",A2:W103,15,FALSE),4),0),IF(ISNUMBER(VLOOKUP("3",A2:W103,15,FALSE)),ROUND(VLOOKUP("3",A2:W103,15,FALSE),4),0)),0)</f>
      </c>
      <c r="P31" s="11">
        <f>=IF(IF(ISNUMBER(VLOOKUP("3",A2:W103,16,FALSE)),ROUND(VLOOKUP("3",A2:W103,16,FALSE),4),0)&gt;0,IF(IF(ISNUMBER(VLOOKUP("3",A2:W103,16,FALSE)),ROUND(VLOOKUP("3",A2:W103,16,FALSE),4),0)&gt;IF(ISNUMBER(VLOOKUP("5.1",A2:W103,16,FALSE)),ROUND(VLOOKUP("5.1",A2:W103,16,FALSE),4),0),IF(ISNUMBER(VLOOKUP("5.1",A2:W103,16,FALSE)),ROUND(VLOOKUP("5.1",A2:W103,16,FALSE),4),0),IF(ISNUMBER(VLOOKUP("3",A2:W103,16,FALSE)),ROUND(VLOOKUP("3",A2:W103,16,FALSE),4),0)),0)</f>
      </c>
      <c r="Q31" s="11">
        <f>=IF(IF(ISNUMBER(VLOOKUP("3",A2:W103,17,FALSE)),ROUND(VLOOKUP("3",A2:W103,17,FALSE),4),0)&gt;0,IF(IF(ISNUMBER(VLOOKUP("3",A2:W103,17,FALSE)),ROUND(VLOOKUP("3",A2:W103,17,FALSE),4),0)&gt;IF(ISNUMBER(VLOOKUP("5.1",A2:W103,17,FALSE)),ROUND(VLOOKUP("5.1",A2:W103,17,FALSE),4),0),IF(ISNUMBER(VLOOKUP("5.1",A2:W103,17,FALSE)),ROUND(VLOOKUP("5.1",A2:W103,17,FALSE),4),0),IF(ISNUMBER(VLOOKUP("3",A2:W103,17,FALSE)),ROUND(VLOOKUP("3",A2:W103,17,FALSE),4),0)),0)</f>
      </c>
      <c r="R31" s="11">
        <f>=IF(IF(ISNUMBER(VLOOKUP("3",A2:W103,18,FALSE)),ROUND(VLOOKUP("3",A2:W103,18,FALSE),4),0)&gt;0,IF(IF(ISNUMBER(VLOOKUP("3",A2:W103,18,FALSE)),ROUND(VLOOKUP("3",A2:W103,18,FALSE),4),0)&gt;IF(ISNUMBER(VLOOKUP("5.1",A2:W103,18,FALSE)),ROUND(VLOOKUP("5.1",A2:W103,18,FALSE),4),0),IF(ISNUMBER(VLOOKUP("5.1",A2:W103,18,FALSE)),ROUND(VLOOKUP("5.1",A2:W103,18,FALSE),4),0),IF(ISNUMBER(VLOOKUP("3",A2:W103,18,FALSE)),ROUND(VLOOKUP("3",A2:W103,18,FALSE),4),0)),0)</f>
      </c>
      <c r="S31" s="11">
        <f>=IF(IF(ISNUMBER(VLOOKUP("3",A2:W103,19,FALSE)),ROUND(VLOOKUP("3",A2:W103,19,FALSE),4),0)&gt;0,IF(IF(ISNUMBER(VLOOKUP("3",A2:W103,19,FALSE)),ROUND(VLOOKUP("3",A2:W103,19,FALSE),4),0)&gt;IF(ISNUMBER(VLOOKUP("5.1",A2:W103,19,FALSE)),ROUND(VLOOKUP("5.1",A2:W103,19,FALSE),4),0),IF(ISNUMBER(VLOOKUP("5.1",A2:W103,19,FALSE)),ROUND(VLOOKUP("5.1",A2:W103,19,FALSE),4),0),IF(ISNUMBER(VLOOKUP("3",A2:W103,19,FALSE)),ROUND(VLOOKUP("3",A2:W103,19,FALSE),4),0)),0)</f>
      </c>
      <c r="T31" s="11">
        <f>=IF(IF(ISNUMBER(VLOOKUP("3",A2:W103,20,FALSE)),ROUND(VLOOKUP("3",A2:W103,20,FALSE),4),0)&gt;0,IF(IF(ISNUMBER(VLOOKUP("3",A2:W103,20,FALSE)),ROUND(VLOOKUP("3",A2:W103,20,FALSE),4),0)&gt;IF(ISNUMBER(VLOOKUP("5.1",A2:W103,20,FALSE)),ROUND(VLOOKUP("5.1",A2:W103,20,FALSE),4),0),IF(ISNUMBER(VLOOKUP("5.1",A2:W103,20,FALSE)),ROUND(VLOOKUP("5.1",A2:W103,20,FALSE),4),0),IF(ISNUMBER(VLOOKUP("3",A2:W103,20,FALSE)),ROUND(VLOOKUP("3",A2:W103,20,FALSE),4),0)),0)</f>
      </c>
      <c r="U31" s="11">
        <f>=IF(IF(ISNUMBER(VLOOKUP("3",A2:W103,21,FALSE)),ROUND(VLOOKUP("3",A2:W103,21,FALSE),4),0)&gt;0,IF(IF(ISNUMBER(VLOOKUP("3",A2:W103,21,FALSE)),ROUND(VLOOKUP("3",A2:W103,21,FALSE),4),0)&gt;IF(ISNUMBER(VLOOKUP("5.1",A2:W103,21,FALSE)),ROUND(VLOOKUP("5.1",A2:W103,21,FALSE),4),0),IF(ISNUMBER(VLOOKUP("5.1",A2:W103,21,FALSE)),ROUND(VLOOKUP("5.1",A2:W103,21,FALSE),4),0),IF(ISNUMBER(VLOOKUP("3",A2:W103,21,FALSE)),ROUND(VLOOKUP("3",A2:W103,21,FALSE),4),0)),0)</f>
      </c>
      <c r="V31" s="11">
        <f>=IF(IF(ISNUMBER(VLOOKUP("3",A2:W103,22,FALSE)),ROUND(VLOOKUP("3",A2:W103,22,FALSE),4),0)&gt;0,IF(IF(ISNUMBER(VLOOKUP("3",A2:W103,22,FALSE)),ROUND(VLOOKUP("3",A2:W103,22,FALSE),4),0)&gt;IF(ISNUMBER(VLOOKUP("5.1",A2:W103,22,FALSE)),ROUND(VLOOKUP("5.1",A2:W103,22,FALSE),4),0),IF(ISNUMBER(VLOOKUP("5.1",A2:W103,22,FALSE)),ROUND(VLOOKUP("5.1",A2:W103,22,FALSE),4),0),IF(ISNUMBER(VLOOKUP("3",A2:W103,22,FALSE)),ROUND(VLOOKUP("3",A2:W103,22,FALSE),4),0)),0)</f>
      </c>
      <c r="W31" s="11">
        <f>=IF(IF(ISNUMBER(VLOOKUP("3",A2:W103,23,FALSE)),ROUND(VLOOKUP("3",A2:W103,23,FALSE),4),0)&gt;0,IF(IF(ISNUMBER(VLOOKUP("3",A2:W103,23,FALSE)),ROUND(VLOOKUP("3",A2:W103,23,FALSE),4),0)&gt;IF(ISNUMBER(VLOOKUP("5.1",A2:W103,23,FALSE)),ROUND(VLOOKUP("5.1",A2:W103,23,FALSE),4),0),IF(ISNUMBER(VLOOKUP("5.1",A2:W103,23,FALSE)),ROUND(VLOOKUP("5.1",A2:W103,23,FALSE),4),0),IF(ISNUMBER(VLOOKUP("3",A2:W103,23,FALSE)),ROUND(VLOOKUP("3",A2:W103,23,FALSE),4),0)),0)</f>
      </c>
    </row>
    <row r="32" ht="14.2083320617676" customHeight="1">
      <c r="A32" s="2" t="s">
        <v>80</v>
      </c>
      <c r="B32" s="3" t="s">
        <v>81</v>
      </c>
      <c r="C32" s="4">
        <f>=IF(ISNUMBER(VLOOKUP("4.1",A2:W103,3,FALSE)),ROUND(VLOOKUP("4.1",A2:W103,3,FALSE),4),0) + IF(ISNUMBER(VLOOKUP("4.2",A2:W103,3,FALSE)),ROUND(VLOOKUP("4.2",A2:W103,3,FALSE),4),0) + IF(ISNUMBER(VLOOKUP("4.3",A2:W103,3,FALSE)),ROUND(VLOOKUP("4.3",A2:W103,3,FALSE),4),0) + IF(ISNUMBER(VLOOKUP("4.4",A2:W103,3,FALSE)),ROUND(VLOOKUP("4.4",A2:W103,3,FALSE),4),0) + IF(ISNUMBER(VLOOKUP("4.5",A2:W103,3,FALSE)),ROUND(VLOOKUP("4.5",A2:W103,3,FALSE),4),0)</f>
      </c>
      <c r="D32" s="4">
        <f>=IF(ISNUMBER(VLOOKUP("4.1",A2:W103,4,FALSE)),ROUND(VLOOKUP("4.1",A2:W103,4,FALSE),4),0) + IF(ISNUMBER(VLOOKUP("4.2",A2:W103,4,FALSE)),ROUND(VLOOKUP("4.2",A2:W103,4,FALSE),4),0) + IF(ISNUMBER(VLOOKUP("4.3",A2:W103,4,FALSE)),ROUND(VLOOKUP("4.3",A2:W103,4,FALSE),4),0) + IF(ISNUMBER(VLOOKUP("4.4",A2:W103,4,FALSE)),ROUND(VLOOKUP("4.4",A2:W103,4,FALSE),4),0) + IF(ISNUMBER(VLOOKUP("4.5",A2:W103,4,FALSE)),ROUND(VLOOKUP("4.5",A2:W103,4,FALSE),4),0)</f>
      </c>
      <c r="E32" s="4">
        <f>=IF(ISNUMBER(VLOOKUP("4.1",A2:W103,5,FALSE)),ROUND(VLOOKUP("4.1",A2:W103,5,FALSE),4),0) + IF(ISNUMBER(VLOOKUP("4.2",A2:W103,5,FALSE)),ROUND(VLOOKUP("4.2",A2:W103,5,FALSE),4),0) + IF(ISNUMBER(VLOOKUP("4.3",A2:W103,5,FALSE)),ROUND(VLOOKUP("4.3",A2:W103,5,FALSE),4),0) + IF(ISNUMBER(VLOOKUP("4.4",A2:W103,5,FALSE)),ROUND(VLOOKUP("4.4",A2:W103,5,FALSE),4),0) + IF(ISNUMBER(VLOOKUP("4.5",A2:W103,5,FALSE)),ROUND(VLOOKUP("4.5",A2:W103,5,FALSE),4),0)</f>
      </c>
      <c r="F32" s="4">
        <f>=IF(ISNUMBER(VLOOKUP("4.1",A2:W103,6,FALSE)),ROUND(VLOOKUP("4.1",A2:W103,6,FALSE),4),0) + IF(ISNUMBER(VLOOKUP("4.2",A2:W103,6,FALSE)),ROUND(VLOOKUP("4.2",A2:W103,6,FALSE),4),0) + IF(ISNUMBER(VLOOKUP("4.3",A2:W103,6,FALSE)),ROUND(VLOOKUP("4.3",A2:W103,6,FALSE),4),0) + IF(ISNUMBER(VLOOKUP("4.4",A2:W103,6,FALSE)),ROUND(VLOOKUP("4.4",A2:W103,6,FALSE),4),0) + IF(ISNUMBER(VLOOKUP("4.5",A2:W103,6,FALSE)),ROUND(VLOOKUP("4.5",A2:W103,6,FALSE),4),0)</f>
      </c>
      <c r="G32" s="4">
        <f>=IF(ISNUMBER(VLOOKUP("4.1",A2:W103,7,FALSE)),ROUND(VLOOKUP("4.1",A2:W103,7,FALSE),4),0) + IF(ISNUMBER(VLOOKUP("4.2",A2:W103,7,FALSE)),ROUND(VLOOKUP("4.2",A2:W103,7,FALSE),4),0) + IF(ISNUMBER(VLOOKUP("4.3",A2:W103,7,FALSE)),ROUND(VLOOKUP("4.3",A2:W103,7,FALSE),4),0) + IF(ISNUMBER(VLOOKUP("4.4",A2:W103,7,FALSE)),ROUND(VLOOKUP("4.4",A2:W103,7,FALSE),4),0) + IF(ISNUMBER(VLOOKUP("4.5",A2:W103,7,FALSE)),ROUND(VLOOKUP("4.5",A2:W103,7,FALSE),4),0)</f>
      </c>
      <c r="H32" s="4">
        <f>=IF(ISNUMBER(VLOOKUP("4.1",A2:W103,8,FALSE)),ROUND(VLOOKUP("4.1",A2:W103,8,FALSE),4),0) + IF(ISNUMBER(VLOOKUP("4.2",A2:W103,8,FALSE)),ROUND(VLOOKUP("4.2",A2:W103,8,FALSE),4),0) + IF(ISNUMBER(VLOOKUP("4.3",A2:W103,8,FALSE)),ROUND(VLOOKUP("4.3",A2:W103,8,FALSE),4),0) + IF(ISNUMBER(VLOOKUP("4.4",A2:W103,8,FALSE)),ROUND(VLOOKUP("4.4",A2:W103,8,FALSE),4),0) + IF(ISNUMBER(VLOOKUP("4.5",A2:W103,8,FALSE)),ROUND(VLOOKUP("4.5",A2:W103,8,FALSE),4),0)</f>
      </c>
      <c r="I32" s="4">
        <f>=IF(ISNUMBER(VLOOKUP("4.1",A2:W103,9,FALSE)),ROUND(VLOOKUP("4.1",A2:W103,9,FALSE),4),0) + IF(ISNUMBER(VLOOKUP("4.2",A2:W103,9,FALSE)),ROUND(VLOOKUP("4.2",A2:W103,9,FALSE),4),0) + IF(ISNUMBER(VLOOKUP("4.3",A2:W103,9,FALSE)),ROUND(VLOOKUP("4.3",A2:W103,9,FALSE),4),0) + IF(ISNUMBER(VLOOKUP("4.4",A2:W103,9,FALSE)),ROUND(VLOOKUP("4.4",A2:W103,9,FALSE),4),0) + IF(ISNUMBER(VLOOKUP("4.5",A2:W103,9,FALSE)),ROUND(VLOOKUP("4.5",A2:W103,9,FALSE),4),0)</f>
      </c>
      <c r="J32" s="4">
        <f>=IF(ISNUMBER(VLOOKUP("4.1",A2:W103,10,FALSE)),ROUND(VLOOKUP("4.1",A2:W103,10,FALSE),4),0) + IF(ISNUMBER(VLOOKUP("4.2",A2:W103,10,FALSE)),ROUND(VLOOKUP("4.2",A2:W103,10,FALSE),4),0) + IF(ISNUMBER(VLOOKUP("4.3",A2:W103,10,FALSE)),ROUND(VLOOKUP("4.3",A2:W103,10,FALSE),4),0) + IF(ISNUMBER(VLOOKUP("4.4",A2:W103,10,FALSE)),ROUND(VLOOKUP("4.4",A2:W103,10,FALSE),4),0) + IF(ISNUMBER(VLOOKUP("4.5",A2:W103,10,FALSE)),ROUND(VLOOKUP("4.5",A2:W103,10,FALSE),4),0)</f>
      </c>
      <c r="K32" s="5">
        <f>=IF(ISNUMBER(VLOOKUP("4.1",A2:W103,11,FALSE)),ROUND(VLOOKUP("4.1",A2:W103,11,FALSE),4),0) + IF(ISNUMBER(VLOOKUP("4.2",A2:W103,11,FALSE)),ROUND(VLOOKUP("4.2",A2:W103,11,FALSE),4),0) + IF(ISNUMBER(VLOOKUP("4.3",A2:W103,11,FALSE)),ROUND(VLOOKUP("4.3",A2:W103,11,FALSE),4),0) + IF(ISNUMBER(VLOOKUP("4.4",A2:W103,11,FALSE)),ROUND(VLOOKUP("4.4",A2:W103,11,FALSE),4),0) + IF(ISNUMBER(VLOOKUP("4.5",A2:W103,11,FALSE)),ROUND(VLOOKUP("4.5",A2:W103,11,FALSE),4),0)</f>
      </c>
      <c r="L32" s="5">
        <f>=IF(ISNUMBER(VLOOKUP("4.1",A2:W103,12,FALSE)),ROUND(VLOOKUP("4.1",A2:W103,12,FALSE),4),0) + IF(ISNUMBER(VLOOKUP("4.2",A2:W103,12,FALSE)),ROUND(VLOOKUP("4.2",A2:W103,12,FALSE),4),0) + IF(ISNUMBER(VLOOKUP("4.3",A2:W103,12,FALSE)),ROUND(VLOOKUP("4.3",A2:W103,12,FALSE),4),0) + IF(ISNUMBER(VLOOKUP("4.4",A2:W103,12,FALSE)),ROUND(VLOOKUP("4.4",A2:W103,12,FALSE),4),0) + IF(ISNUMBER(VLOOKUP("4.5",A2:W103,12,FALSE)),ROUND(VLOOKUP("4.5",A2:W103,12,FALSE),4),0)</f>
      </c>
      <c r="M32" s="5">
        <f>=IF(ISNUMBER(VLOOKUP("4.1",A2:W103,13,FALSE)),ROUND(VLOOKUP("4.1",A2:W103,13,FALSE),4),0) + IF(ISNUMBER(VLOOKUP("4.2",A2:W103,13,FALSE)),ROUND(VLOOKUP("4.2",A2:W103,13,FALSE),4),0) + IF(ISNUMBER(VLOOKUP("4.3",A2:W103,13,FALSE)),ROUND(VLOOKUP("4.3",A2:W103,13,FALSE),4),0) + IF(ISNUMBER(VLOOKUP("4.4",A2:W103,13,FALSE)),ROUND(VLOOKUP("4.4",A2:W103,13,FALSE),4),0) + IF(ISNUMBER(VLOOKUP("4.5",A2:W103,13,FALSE)),ROUND(VLOOKUP("4.5",A2:W103,13,FALSE),4),0)</f>
      </c>
      <c r="N32" s="5">
        <f>=IF(ISNUMBER(VLOOKUP("4.1",A2:W103,14,FALSE)),ROUND(VLOOKUP("4.1",A2:W103,14,FALSE),4),0) + IF(ISNUMBER(VLOOKUP("4.2",A2:W103,14,FALSE)),ROUND(VLOOKUP("4.2",A2:W103,14,FALSE),4),0) + IF(ISNUMBER(VLOOKUP("4.3",A2:W103,14,FALSE)),ROUND(VLOOKUP("4.3",A2:W103,14,FALSE),4),0) + IF(ISNUMBER(VLOOKUP("4.4",A2:W103,14,FALSE)),ROUND(VLOOKUP("4.4",A2:W103,14,FALSE),4),0) + IF(ISNUMBER(VLOOKUP("4.5",A2:W103,14,FALSE)),ROUND(VLOOKUP("4.5",A2:W103,14,FALSE),4),0)</f>
      </c>
      <c r="O32" s="5">
        <f>=IF(ISNUMBER(VLOOKUP("4.1",A2:W103,15,FALSE)),ROUND(VLOOKUP("4.1",A2:W103,15,FALSE),4),0) + IF(ISNUMBER(VLOOKUP("4.2",A2:W103,15,FALSE)),ROUND(VLOOKUP("4.2",A2:W103,15,FALSE),4),0) + IF(ISNUMBER(VLOOKUP("4.3",A2:W103,15,FALSE)),ROUND(VLOOKUP("4.3",A2:W103,15,FALSE),4),0) + IF(ISNUMBER(VLOOKUP("4.4",A2:W103,15,FALSE)),ROUND(VLOOKUP("4.4",A2:W103,15,FALSE),4),0) + IF(ISNUMBER(VLOOKUP("4.5",A2:W103,15,FALSE)),ROUND(VLOOKUP("4.5",A2:W103,15,FALSE),4),0)</f>
      </c>
      <c r="P32" s="5">
        <f>=IF(ISNUMBER(VLOOKUP("4.1",A2:W103,16,FALSE)),ROUND(VLOOKUP("4.1",A2:W103,16,FALSE),4),0) + IF(ISNUMBER(VLOOKUP("4.2",A2:W103,16,FALSE)),ROUND(VLOOKUP("4.2",A2:W103,16,FALSE),4),0) + IF(ISNUMBER(VLOOKUP("4.3",A2:W103,16,FALSE)),ROUND(VLOOKUP("4.3",A2:W103,16,FALSE),4),0) + IF(ISNUMBER(VLOOKUP("4.4",A2:W103,16,FALSE)),ROUND(VLOOKUP("4.4",A2:W103,16,FALSE),4),0) + IF(ISNUMBER(VLOOKUP("4.5",A2:W103,16,FALSE)),ROUND(VLOOKUP("4.5",A2:W103,16,FALSE),4),0)</f>
      </c>
      <c r="Q32" s="5">
        <f>=IF(ISNUMBER(VLOOKUP("4.1",A2:W103,17,FALSE)),ROUND(VLOOKUP("4.1",A2:W103,17,FALSE),4),0) + IF(ISNUMBER(VLOOKUP("4.2",A2:W103,17,FALSE)),ROUND(VLOOKUP("4.2",A2:W103,17,FALSE),4),0) + IF(ISNUMBER(VLOOKUP("4.3",A2:W103,17,FALSE)),ROUND(VLOOKUP("4.3",A2:W103,17,FALSE),4),0) + IF(ISNUMBER(VLOOKUP("4.4",A2:W103,17,FALSE)),ROUND(VLOOKUP("4.4",A2:W103,17,FALSE),4),0) + IF(ISNUMBER(VLOOKUP("4.5",A2:W103,17,FALSE)),ROUND(VLOOKUP("4.5",A2:W103,17,FALSE),4),0)</f>
      </c>
      <c r="R32" s="5">
        <f>=IF(ISNUMBER(VLOOKUP("4.1",A2:W103,18,FALSE)),ROUND(VLOOKUP("4.1",A2:W103,18,FALSE),4),0) + IF(ISNUMBER(VLOOKUP("4.2",A2:W103,18,FALSE)),ROUND(VLOOKUP("4.2",A2:W103,18,FALSE),4),0) + IF(ISNUMBER(VLOOKUP("4.3",A2:W103,18,FALSE)),ROUND(VLOOKUP("4.3",A2:W103,18,FALSE),4),0) + IF(ISNUMBER(VLOOKUP("4.4",A2:W103,18,FALSE)),ROUND(VLOOKUP("4.4",A2:W103,18,FALSE),4),0) + IF(ISNUMBER(VLOOKUP("4.5",A2:W103,18,FALSE)),ROUND(VLOOKUP("4.5",A2:W103,18,FALSE),4),0)</f>
      </c>
      <c r="S32" s="5">
        <f>=IF(ISNUMBER(VLOOKUP("4.1",A2:W103,19,FALSE)),ROUND(VLOOKUP("4.1",A2:W103,19,FALSE),4),0) + IF(ISNUMBER(VLOOKUP("4.2",A2:W103,19,FALSE)),ROUND(VLOOKUP("4.2",A2:W103,19,FALSE),4),0) + IF(ISNUMBER(VLOOKUP("4.3",A2:W103,19,FALSE)),ROUND(VLOOKUP("4.3",A2:W103,19,FALSE),4),0) + IF(ISNUMBER(VLOOKUP("4.4",A2:W103,19,FALSE)),ROUND(VLOOKUP("4.4",A2:W103,19,FALSE),4),0) + IF(ISNUMBER(VLOOKUP("4.5",A2:W103,19,FALSE)),ROUND(VLOOKUP("4.5",A2:W103,19,FALSE),4),0)</f>
      </c>
      <c r="T32" s="5">
        <f>=IF(ISNUMBER(VLOOKUP("4.1",A2:W103,20,FALSE)),ROUND(VLOOKUP("4.1",A2:W103,20,FALSE),4),0) + IF(ISNUMBER(VLOOKUP("4.2",A2:W103,20,FALSE)),ROUND(VLOOKUP("4.2",A2:W103,20,FALSE),4),0) + IF(ISNUMBER(VLOOKUP("4.3",A2:W103,20,FALSE)),ROUND(VLOOKUP("4.3",A2:W103,20,FALSE),4),0) + IF(ISNUMBER(VLOOKUP("4.4",A2:W103,20,FALSE)),ROUND(VLOOKUP("4.4",A2:W103,20,FALSE),4),0) + IF(ISNUMBER(VLOOKUP("4.5",A2:W103,20,FALSE)),ROUND(VLOOKUP("4.5",A2:W103,20,FALSE),4),0)</f>
      </c>
      <c r="U32" s="5">
        <f>=IF(ISNUMBER(VLOOKUP("4.1",A2:W103,21,FALSE)),ROUND(VLOOKUP("4.1",A2:W103,21,FALSE),4),0) + IF(ISNUMBER(VLOOKUP("4.2",A2:W103,21,FALSE)),ROUND(VLOOKUP("4.2",A2:W103,21,FALSE),4),0) + IF(ISNUMBER(VLOOKUP("4.3",A2:W103,21,FALSE)),ROUND(VLOOKUP("4.3",A2:W103,21,FALSE),4),0) + IF(ISNUMBER(VLOOKUP("4.4",A2:W103,21,FALSE)),ROUND(VLOOKUP("4.4",A2:W103,21,FALSE),4),0) + IF(ISNUMBER(VLOOKUP("4.5",A2:W103,21,FALSE)),ROUND(VLOOKUP("4.5",A2:W103,21,FALSE),4),0)</f>
      </c>
      <c r="V32" s="5">
        <f>=IF(ISNUMBER(VLOOKUP("4.1",A2:W103,22,FALSE)),ROUND(VLOOKUP("4.1",A2:W103,22,FALSE),4),0) + IF(ISNUMBER(VLOOKUP("4.2",A2:W103,22,FALSE)),ROUND(VLOOKUP("4.2",A2:W103,22,FALSE),4),0) + IF(ISNUMBER(VLOOKUP("4.3",A2:W103,22,FALSE)),ROUND(VLOOKUP("4.3",A2:W103,22,FALSE),4),0) + IF(ISNUMBER(VLOOKUP("4.4",A2:W103,22,FALSE)),ROUND(VLOOKUP("4.4",A2:W103,22,FALSE),4),0) + IF(ISNUMBER(VLOOKUP("4.5",A2:W103,22,FALSE)),ROUND(VLOOKUP("4.5",A2:W103,22,FALSE),4),0)</f>
      </c>
      <c r="W32" s="5">
        <f>=IF(ISNUMBER(VLOOKUP("4.1",A2:W103,23,FALSE)),ROUND(VLOOKUP("4.1",A2:W103,23,FALSE),4),0) + IF(ISNUMBER(VLOOKUP("4.2",A2:W103,23,FALSE)),ROUND(VLOOKUP("4.2",A2:W103,23,FALSE),4),0) + IF(ISNUMBER(VLOOKUP("4.3",A2:W103,23,FALSE)),ROUND(VLOOKUP("4.3",A2:W103,23,FALSE),4),0) + IF(ISNUMBER(VLOOKUP("4.4",A2:W103,23,FALSE)),ROUND(VLOOKUP("4.4",A2:W103,23,FALSE),4),0) + IF(ISNUMBER(VLOOKUP("4.5",A2:W103,23,FALSE)),ROUND(VLOOKUP("4.5",A2:W103,23,FALSE),4),0)</f>
      </c>
    </row>
    <row r="33" ht="14.2083320617676" customHeight="1">
      <c r="A33" s="2" t="s">
        <v>82</v>
      </c>
      <c r="B33" s="3" t="s">
        <v>83</v>
      </c>
      <c r="C33" s="4">
        <v>0</v>
      </c>
      <c r="D33" s="4">
        <v>3207980</v>
      </c>
      <c r="E33" s="4">
        <v>4794219</v>
      </c>
      <c r="F33" s="4">
        <v>0</v>
      </c>
      <c r="G33" s="4">
        <v>3252101</v>
      </c>
      <c r="H33" s="4">
        <v>4000000</v>
      </c>
      <c r="I33" s="4">
        <v>19124671.11</v>
      </c>
      <c r="J33" s="4">
        <v>8410569.1</v>
      </c>
      <c r="K33" s="5">
        <v>6777893.14</v>
      </c>
      <c r="L33" s="5">
        <v>0</v>
      </c>
      <c r="M33" s="5">
        <v>0</v>
      </c>
      <c r="N33" s="5">
        <v>0</v>
      </c>
      <c r="O33" s="5">
        <v>0</v>
      </c>
      <c r="P33" s="5">
        <v>0</v>
      </c>
      <c r="Q33" s="5">
        <v>0</v>
      </c>
      <c r="R33" s="5">
        <v>0</v>
      </c>
      <c r="S33" s="5">
        <v>0</v>
      </c>
      <c r="T33" s="5">
        <v>0</v>
      </c>
      <c r="U33" s="5">
        <v>0</v>
      </c>
      <c r="V33" s="5">
        <v>0</v>
      </c>
      <c r="W33" s="5">
        <v>0</v>
      </c>
    </row>
    <row r="34" ht="14.2083320617676" customHeight="1">
      <c r="A34" s="6" t="s">
        <v>84</v>
      </c>
      <c r="B34" s="7" t="s">
        <v>85</v>
      </c>
      <c r="C34" s="8">
        <v>0</v>
      </c>
      <c r="D34" s="8">
        <v>436899.39</v>
      </c>
      <c r="E34" s="8">
        <v>0</v>
      </c>
      <c r="F34" s="8">
        <v>0</v>
      </c>
      <c r="G34" s="8">
        <v>0</v>
      </c>
      <c r="H34" s="8">
        <v>0</v>
      </c>
      <c r="I34" s="8">
        <v>17274671.11</v>
      </c>
      <c r="J34" s="8">
        <v>2774695.61</v>
      </c>
      <c r="K34" s="9">
        <v>4927893.14</v>
      </c>
      <c r="L34" s="9">
        <v>0</v>
      </c>
      <c r="M34" s="9">
        <v>0</v>
      </c>
      <c r="N34" s="9">
        <v>0</v>
      </c>
      <c r="O34" s="9">
        <v>0</v>
      </c>
      <c r="P34" s="9">
        <v>0</v>
      </c>
      <c r="Q34" s="9">
        <v>0</v>
      </c>
      <c r="R34" s="9">
        <v>0</v>
      </c>
      <c r="S34" s="9">
        <v>0</v>
      </c>
      <c r="T34" s="9">
        <v>0</v>
      </c>
      <c r="U34" s="9">
        <v>0</v>
      </c>
      <c r="V34" s="9">
        <v>0</v>
      </c>
      <c r="W34" s="9">
        <v>0</v>
      </c>
    </row>
    <row r="35" ht="14.2083320617676" customHeight="1">
      <c r="A35" s="2" t="s">
        <v>86</v>
      </c>
      <c r="B35" s="3" t="s">
        <v>87</v>
      </c>
      <c r="C35" s="12">
        <v>0</v>
      </c>
      <c r="D35" s="12">
        <v>0</v>
      </c>
      <c r="E35" s="12">
        <v>0</v>
      </c>
      <c r="F35" s="12">
        <v>21671.1</v>
      </c>
      <c r="G35" s="12">
        <v>614314.13</v>
      </c>
      <c r="H35" s="12">
        <v>4611494.85</v>
      </c>
      <c r="I35" s="12">
        <v>1877456</v>
      </c>
      <c r="J35" s="12">
        <v>1877456</v>
      </c>
      <c r="K35" s="13">
        <v>7663329.49</v>
      </c>
      <c r="L35" s="13">
        <v>0</v>
      </c>
      <c r="M35" s="13">
        <v>0</v>
      </c>
      <c r="N35" s="13">
        <v>0</v>
      </c>
      <c r="O35" s="13">
        <v>0</v>
      </c>
      <c r="P35" s="13">
        <v>0</v>
      </c>
      <c r="Q35" s="13">
        <v>0</v>
      </c>
      <c r="R35" s="13">
        <v>0</v>
      </c>
      <c r="S35" s="13">
        <v>0</v>
      </c>
      <c r="T35" s="13">
        <v>0</v>
      </c>
      <c r="U35" s="13">
        <v>0</v>
      </c>
      <c r="V35" s="13">
        <v>0</v>
      </c>
      <c r="W35" s="13">
        <v>0</v>
      </c>
    </row>
    <row r="36" ht="14.2083320617676" customHeight="1">
      <c r="A36" s="6" t="s">
        <v>88</v>
      </c>
      <c r="B36" s="7" t="s">
        <v>85</v>
      </c>
      <c r="C36" s="8">
        <v>0</v>
      </c>
      <c r="D36" s="8">
        <v>0</v>
      </c>
      <c r="E36" s="8">
        <v>0</v>
      </c>
      <c r="F36" s="8">
        <v>0</v>
      </c>
      <c r="G36" s="8">
        <v>0</v>
      </c>
      <c r="H36" s="8">
        <v>3217703.57</v>
      </c>
      <c r="I36" s="8">
        <v>1877456</v>
      </c>
      <c r="J36" s="8">
        <v>0</v>
      </c>
      <c r="K36" s="9">
        <v>7663329.49</v>
      </c>
      <c r="L36" s="9">
        <v>0</v>
      </c>
      <c r="M36" s="9">
        <v>0</v>
      </c>
      <c r="N36" s="9">
        <v>0</v>
      </c>
      <c r="O36" s="9">
        <v>0</v>
      </c>
      <c r="P36" s="9">
        <v>0</v>
      </c>
      <c r="Q36" s="9">
        <v>0</v>
      </c>
      <c r="R36" s="9">
        <v>0</v>
      </c>
      <c r="S36" s="9">
        <v>0</v>
      </c>
      <c r="T36" s="9">
        <v>0</v>
      </c>
      <c r="U36" s="9">
        <v>0</v>
      </c>
      <c r="V36" s="9">
        <v>0</v>
      </c>
      <c r="W36" s="9">
        <v>0</v>
      </c>
    </row>
    <row r="37" ht="27.0833320617676" customHeight="1">
      <c r="A37" s="6" t="s">
        <v>89</v>
      </c>
      <c r="B37" s="7" t="s">
        <v>90</v>
      </c>
      <c r="C37" s="8">
        <v>0</v>
      </c>
      <c r="D37" s="8">
        <v>0</v>
      </c>
      <c r="E37" s="8">
        <v>906143.65</v>
      </c>
      <c r="F37" s="8">
        <v>3245841</v>
      </c>
      <c r="G37" s="8">
        <v>2114345</v>
      </c>
      <c r="H37" s="8">
        <v>666848</v>
      </c>
      <c r="I37" s="8">
        <v>2000000</v>
      </c>
      <c r="J37" s="8">
        <v>2000000</v>
      </c>
      <c r="K37" s="9">
        <v>0</v>
      </c>
      <c r="L37" s="9">
        <v>0</v>
      </c>
      <c r="M37" s="9">
        <v>0</v>
      </c>
      <c r="N37" s="9">
        <v>0</v>
      </c>
      <c r="O37" s="9">
        <v>0</v>
      </c>
      <c r="P37" s="9">
        <v>0</v>
      </c>
      <c r="Q37" s="9">
        <v>0</v>
      </c>
      <c r="R37" s="9">
        <v>0</v>
      </c>
      <c r="S37" s="9">
        <v>0</v>
      </c>
      <c r="T37" s="9">
        <v>0</v>
      </c>
      <c r="U37" s="9">
        <v>0</v>
      </c>
      <c r="V37" s="9">
        <v>0</v>
      </c>
      <c r="W37" s="9">
        <v>0</v>
      </c>
    </row>
    <row r="38" ht="14.2083320617676" customHeight="1">
      <c r="A38" s="6" t="s">
        <v>91</v>
      </c>
      <c r="B38" s="7" t="s">
        <v>85</v>
      </c>
      <c r="C38" s="8">
        <v>0</v>
      </c>
      <c r="D38" s="8">
        <v>0</v>
      </c>
      <c r="E38" s="8">
        <v>143612.8</v>
      </c>
      <c r="F38" s="8">
        <v>0</v>
      </c>
      <c r="G38" s="8">
        <v>0</v>
      </c>
      <c r="H38" s="8">
        <v>666848</v>
      </c>
      <c r="I38" s="8">
        <v>2000000</v>
      </c>
      <c r="J38" s="8">
        <v>0</v>
      </c>
      <c r="K38" s="9">
        <v>0</v>
      </c>
      <c r="L38" s="9">
        <v>0</v>
      </c>
      <c r="M38" s="9">
        <v>0</v>
      </c>
      <c r="N38" s="9">
        <v>0</v>
      </c>
      <c r="O38" s="9">
        <v>0</v>
      </c>
      <c r="P38" s="9">
        <v>0</v>
      </c>
      <c r="Q38" s="9">
        <v>0</v>
      </c>
      <c r="R38" s="9">
        <v>0</v>
      </c>
      <c r="S38" s="9">
        <v>0</v>
      </c>
      <c r="T38" s="9">
        <v>0</v>
      </c>
      <c r="U38" s="9">
        <v>0</v>
      </c>
      <c r="V38" s="9">
        <v>0</v>
      </c>
      <c r="W38" s="9">
        <v>0</v>
      </c>
    </row>
    <row r="39" ht="14.2083320617676" customHeight="1">
      <c r="A39" s="6" t="s">
        <v>92</v>
      </c>
      <c r="B39" s="7" t="s">
        <v>93</v>
      </c>
      <c r="C39" s="8">
        <v>0</v>
      </c>
      <c r="D39" s="8">
        <v>0</v>
      </c>
      <c r="E39" s="8">
        <v>0</v>
      </c>
      <c r="F39" s="8">
        <v>0</v>
      </c>
      <c r="G39" s="8">
        <v>0</v>
      </c>
      <c r="H39" s="8">
        <v>0</v>
      </c>
      <c r="I39" s="8">
        <v>0</v>
      </c>
      <c r="J39" s="8">
        <v>0</v>
      </c>
      <c r="K39" s="9">
        <v>0</v>
      </c>
      <c r="L39" s="9">
        <v>0</v>
      </c>
      <c r="M39" s="9">
        <v>0</v>
      </c>
      <c r="N39" s="9">
        <v>0</v>
      </c>
      <c r="O39" s="9">
        <v>0</v>
      </c>
      <c r="P39" s="9">
        <v>0</v>
      </c>
      <c r="Q39" s="9">
        <v>0</v>
      </c>
      <c r="R39" s="9">
        <v>0</v>
      </c>
      <c r="S39" s="9">
        <v>0</v>
      </c>
      <c r="T39" s="9">
        <v>0</v>
      </c>
      <c r="U39" s="9">
        <v>0</v>
      </c>
      <c r="V39" s="9">
        <v>0</v>
      </c>
      <c r="W39" s="9">
        <v>0</v>
      </c>
    </row>
    <row r="40" ht="14.2083320617676" customHeight="1">
      <c r="A40" s="6" t="s">
        <v>94</v>
      </c>
      <c r="B40" s="7" t="s">
        <v>85</v>
      </c>
      <c r="C40" s="8">
        <v>0</v>
      </c>
      <c r="D40" s="8">
        <v>0</v>
      </c>
      <c r="E40" s="8">
        <v>0</v>
      </c>
      <c r="F40" s="8">
        <v>0</v>
      </c>
      <c r="G40" s="8">
        <v>0</v>
      </c>
      <c r="H40" s="8">
        <v>0</v>
      </c>
      <c r="I40" s="8">
        <v>0</v>
      </c>
      <c r="J40" s="8">
        <v>0</v>
      </c>
      <c r="K40" s="9">
        <v>0</v>
      </c>
      <c r="L40" s="9">
        <v>0</v>
      </c>
      <c r="M40" s="9">
        <v>0</v>
      </c>
      <c r="N40" s="9">
        <v>0</v>
      </c>
      <c r="O40" s="9">
        <v>0</v>
      </c>
      <c r="P40" s="9">
        <v>0</v>
      </c>
      <c r="Q40" s="9">
        <v>0</v>
      </c>
      <c r="R40" s="9">
        <v>0</v>
      </c>
      <c r="S40" s="9">
        <v>0</v>
      </c>
      <c r="T40" s="9">
        <v>0</v>
      </c>
      <c r="U40" s="9">
        <v>0</v>
      </c>
      <c r="V40" s="9">
        <v>0</v>
      </c>
      <c r="W40" s="9">
        <v>0</v>
      </c>
    </row>
    <row r="41" ht="14.2083320617676" customHeight="1">
      <c r="A41" s="2" t="s">
        <v>95</v>
      </c>
      <c r="B41" s="3" t="s">
        <v>96</v>
      </c>
      <c r="C41" s="12">
        <v>0</v>
      </c>
      <c r="D41" s="12">
        <v>0</v>
      </c>
      <c r="E41" s="12">
        <v>0</v>
      </c>
      <c r="F41" s="12">
        <v>0</v>
      </c>
      <c r="G41" s="12">
        <v>0</v>
      </c>
      <c r="H41" s="12">
        <v>0</v>
      </c>
      <c r="I41" s="12">
        <v>0</v>
      </c>
      <c r="J41" s="12">
        <v>0</v>
      </c>
      <c r="K41" s="13">
        <v>0</v>
      </c>
      <c r="L41" s="13">
        <v>0</v>
      </c>
      <c r="M41" s="13">
        <v>0</v>
      </c>
      <c r="N41" s="13">
        <v>0</v>
      </c>
      <c r="O41" s="13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</row>
    <row r="42" ht="14.2083320617676" customHeight="1">
      <c r="A42" s="6" t="s">
        <v>97</v>
      </c>
      <c r="B42" s="7" t="s">
        <v>85</v>
      </c>
      <c r="C42" s="8">
        <v>0</v>
      </c>
      <c r="D42" s="8">
        <v>0</v>
      </c>
      <c r="E42" s="8">
        <v>0</v>
      </c>
      <c r="F42" s="8">
        <v>0</v>
      </c>
      <c r="G42" s="8">
        <v>0</v>
      </c>
      <c r="H42" s="8">
        <v>0</v>
      </c>
      <c r="I42" s="8">
        <v>0</v>
      </c>
      <c r="J42" s="8">
        <v>0</v>
      </c>
      <c r="K42" s="9">
        <v>0</v>
      </c>
      <c r="L42" s="9">
        <v>0</v>
      </c>
      <c r="M42" s="9">
        <v>0</v>
      </c>
      <c r="N42" s="9">
        <v>0</v>
      </c>
      <c r="O42" s="9">
        <v>0</v>
      </c>
      <c r="P42" s="9">
        <v>0</v>
      </c>
      <c r="Q42" s="9">
        <v>0</v>
      </c>
      <c r="R42" s="9">
        <v>0</v>
      </c>
      <c r="S42" s="9">
        <v>0</v>
      </c>
      <c r="T42" s="9">
        <v>0</v>
      </c>
      <c r="U42" s="9">
        <v>0</v>
      </c>
      <c r="V42" s="9">
        <v>0</v>
      </c>
      <c r="W42" s="9">
        <v>0</v>
      </c>
    </row>
    <row r="43" ht="14.2083320617676" customHeight="1">
      <c r="A43" s="2" t="s">
        <v>98</v>
      </c>
      <c r="B43" s="3" t="s">
        <v>99</v>
      </c>
      <c r="C43" s="4">
        <f>=IF(ISNUMBER(VLOOKUP("5.1",A2:W103,3,FALSE)),ROUND(VLOOKUP("5.1",A2:W103,3,FALSE),4),0) + IF(ISNUMBER(VLOOKUP("5.2",A2:W103,3,FALSE)),ROUND(VLOOKUP("5.2",A2:W103,3,FALSE),4),0)</f>
      </c>
      <c r="D43" s="4">
        <f>=IF(ISNUMBER(VLOOKUP("5.1",A2:W103,4,FALSE)),ROUND(VLOOKUP("5.1",A2:W103,4,FALSE),4),0) + IF(ISNUMBER(VLOOKUP("5.2",A2:W103,4,FALSE)),ROUND(VLOOKUP("5.2",A2:W103,4,FALSE),4),0)</f>
      </c>
      <c r="E43" s="4">
        <f>=IF(ISNUMBER(VLOOKUP("5.1",A2:W103,5,FALSE)),ROUND(VLOOKUP("5.1",A2:W103,5,FALSE),4),0) + IF(ISNUMBER(VLOOKUP("5.2",A2:W103,5,FALSE)),ROUND(VLOOKUP("5.2",A2:W103,5,FALSE),4),0)</f>
      </c>
      <c r="F43" s="4">
        <f>=IF(ISNUMBER(VLOOKUP("5.1",A2:W103,6,FALSE)),ROUND(VLOOKUP("5.1",A2:W103,6,FALSE),4),0) + IF(ISNUMBER(VLOOKUP("5.2",A2:W103,6,FALSE)),ROUND(VLOOKUP("5.2",A2:W103,6,FALSE),4),0)</f>
      </c>
      <c r="G43" s="4">
        <f>=IF(ISNUMBER(VLOOKUP("5.1",A2:W103,7,FALSE)),ROUND(VLOOKUP("5.1",A2:W103,7,FALSE),4),0) + IF(ISNUMBER(VLOOKUP("5.2",A2:W103,7,FALSE)),ROUND(VLOOKUP("5.2",A2:W103,7,FALSE),4),0)</f>
      </c>
      <c r="H43" s="4">
        <f>=IF(ISNUMBER(VLOOKUP("5.1",A2:W103,8,FALSE)),ROUND(VLOOKUP("5.1",A2:W103,8,FALSE),4),0) + IF(ISNUMBER(VLOOKUP("5.2",A2:W103,8,FALSE)),ROUND(VLOOKUP("5.2",A2:W103,8,FALSE),4),0)</f>
      </c>
      <c r="I43" s="4">
        <f>=IF(ISNUMBER(VLOOKUP("5.1",A2:W103,9,FALSE)),ROUND(VLOOKUP("5.1",A2:W103,9,FALSE),4),0) + IF(ISNUMBER(VLOOKUP("5.2",A2:W103,9,FALSE)),ROUND(VLOOKUP("5.2",A2:W103,9,FALSE),4),0)</f>
      </c>
      <c r="J43" s="4">
        <f>=IF(ISNUMBER(VLOOKUP("5.1",A2:W103,10,FALSE)),ROUND(VLOOKUP("5.1",A2:W103,10,FALSE),4),0) + IF(ISNUMBER(VLOOKUP("5.2",A2:W103,10,FALSE)),ROUND(VLOOKUP("5.2",A2:W103,10,FALSE),4),0)</f>
      </c>
      <c r="K43" s="5">
        <f>=IF(ISNUMBER(VLOOKUP("5.1",A2:W103,11,FALSE)),ROUND(VLOOKUP("5.1",A2:W103,11,FALSE),4),0) + IF(ISNUMBER(VLOOKUP("5.2",A2:W103,11,FALSE)),ROUND(VLOOKUP("5.2",A2:W103,11,FALSE),4),0)</f>
      </c>
      <c r="L43" s="5">
        <f>=IF(ISNUMBER(VLOOKUP("5.1",A2:W103,12,FALSE)),ROUND(VLOOKUP("5.1",A2:W103,12,FALSE),4),0) + IF(ISNUMBER(VLOOKUP("5.2",A2:W103,12,FALSE)),ROUND(VLOOKUP("5.2",A2:W103,12,FALSE),4),0)</f>
      </c>
      <c r="M43" s="5">
        <f>=IF(ISNUMBER(VLOOKUP("5.1",A2:W103,13,FALSE)),ROUND(VLOOKUP("5.1",A2:W103,13,FALSE),4),0) + IF(ISNUMBER(VLOOKUP("5.2",A2:W103,13,FALSE)),ROUND(VLOOKUP("5.2",A2:W103,13,FALSE),4),0)</f>
      </c>
      <c r="N43" s="5">
        <f>=IF(ISNUMBER(VLOOKUP("5.1",A2:W103,14,FALSE)),ROUND(VLOOKUP("5.1",A2:W103,14,FALSE),4),0) + IF(ISNUMBER(VLOOKUP("5.2",A2:W103,14,FALSE)),ROUND(VLOOKUP("5.2",A2:W103,14,FALSE),4),0)</f>
      </c>
      <c r="O43" s="5">
        <f>=IF(ISNUMBER(VLOOKUP("5.1",A2:W103,15,FALSE)),ROUND(VLOOKUP("5.1",A2:W103,15,FALSE),4),0) + IF(ISNUMBER(VLOOKUP("5.2",A2:W103,15,FALSE)),ROUND(VLOOKUP("5.2",A2:W103,15,FALSE),4),0)</f>
      </c>
      <c r="P43" s="5">
        <f>=IF(ISNUMBER(VLOOKUP("5.1",A2:W103,16,FALSE)),ROUND(VLOOKUP("5.1",A2:W103,16,FALSE),4),0) + IF(ISNUMBER(VLOOKUP("5.2",A2:W103,16,FALSE)),ROUND(VLOOKUP("5.2",A2:W103,16,FALSE),4),0)</f>
      </c>
      <c r="Q43" s="5">
        <f>=IF(ISNUMBER(VLOOKUP("5.1",A2:W103,17,FALSE)),ROUND(VLOOKUP("5.1",A2:W103,17,FALSE),4),0) + IF(ISNUMBER(VLOOKUP("5.2",A2:W103,17,FALSE)),ROUND(VLOOKUP("5.2",A2:W103,17,FALSE),4),0)</f>
      </c>
      <c r="R43" s="5">
        <f>=IF(ISNUMBER(VLOOKUP("5.1",A2:W103,18,FALSE)),ROUND(VLOOKUP("5.1",A2:W103,18,FALSE),4),0) + IF(ISNUMBER(VLOOKUP("5.2",A2:W103,18,FALSE)),ROUND(VLOOKUP("5.2",A2:W103,18,FALSE),4),0)</f>
      </c>
      <c r="S43" s="5">
        <f>=IF(ISNUMBER(VLOOKUP("5.1",A2:W103,19,FALSE)),ROUND(VLOOKUP("5.1",A2:W103,19,FALSE),4),0) + IF(ISNUMBER(VLOOKUP("5.2",A2:W103,19,FALSE)),ROUND(VLOOKUP("5.2",A2:W103,19,FALSE),4),0)</f>
      </c>
      <c r="T43" s="5">
        <f>=IF(ISNUMBER(VLOOKUP("5.1",A2:W103,20,FALSE)),ROUND(VLOOKUP("5.1",A2:W103,20,FALSE),4),0) + IF(ISNUMBER(VLOOKUP("5.2",A2:W103,20,FALSE)),ROUND(VLOOKUP("5.2",A2:W103,20,FALSE),4),0)</f>
      </c>
      <c r="U43" s="5">
        <f>=IF(ISNUMBER(VLOOKUP("5.1",A2:W103,21,FALSE)),ROUND(VLOOKUP("5.1",A2:W103,21,FALSE),4),0) + IF(ISNUMBER(VLOOKUP("5.2",A2:W103,21,FALSE)),ROUND(VLOOKUP("5.2",A2:W103,21,FALSE),4),0)</f>
      </c>
      <c r="V43" s="5">
        <f>=IF(ISNUMBER(VLOOKUP("5.1",A2:W103,22,FALSE)),ROUND(VLOOKUP("5.1",A2:W103,22,FALSE),4),0) + IF(ISNUMBER(VLOOKUP("5.2",A2:W103,22,FALSE)),ROUND(VLOOKUP("5.2",A2:W103,22,FALSE),4),0)</f>
      </c>
      <c r="W43" s="5">
        <f>=IF(ISNUMBER(VLOOKUP("5.1",A2:W103,23,FALSE)),ROUND(VLOOKUP("5.1",A2:W103,23,FALSE),4),0) + IF(ISNUMBER(VLOOKUP("5.2",A2:W103,23,FALSE)),ROUND(VLOOKUP("5.2",A2:W103,23,FALSE),4),0)</f>
      </c>
    </row>
    <row r="44" ht="27.0833320617676" customHeight="1">
      <c r="A44" s="2" t="s">
        <v>100</v>
      </c>
      <c r="B44" s="3" t="s">
        <v>101</v>
      </c>
      <c r="C44" s="4">
        <v>0</v>
      </c>
      <c r="D44" s="4">
        <v>2878921.83</v>
      </c>
      <c r="E44" s="4">
        <v>1472500.15</v>
      </c>
      <c r="F44" s="4">
        <v>3533299</v>
      </c>
      <c r="G44" s="4">
        <v>1709500</v>
      </c>
      <c r="H44" s="4">
        <v>2693651</v>
      </c>
      <c r="I44" s="4">
        <v>1850000</v>
      </c>
      <c r="J44" s="4">
        <v>1850000</v>
      </c>
      <c r="K44" s="5">
        <v>1850000</v>
      </c>
      <c r="L44" s="5">
        <v>7006476.42</v>
      </c>
      <c r="M44" s="5">
        <v>850000</v>
      </c>
      <c r="N44" s="5">
        <v>1850000</v>
      </c>
      <c r="O44" s="5">
        <v>2000568.02</v>
      </c>
      <c r="P44" s="5">
        <v>1930000</v>
      </c>
      <c r="Q44" s="5">
        <v>1890000</v>
      </c>
      <c r="R44" s="5">
        <v>2326185.82</v>
      </c>
      <c r="S44" s="5">
        <v>2500000</v>
      </c>
      <c r="T44" s="5">
        <v>2625000</v>
      </c>
      <c r="U44" s="5">
        <v>2625000</v>
      </c>
      <c r="V44" s="5">
        <v>2625000</v>
      </c>
      <c r="W44" s="5">
        <v>1425000</v>
      </c>
    </row>
    <row r="45" ht="27.0833320617676" customHeight="1">
      <c r="A45" s="6" t="s">
        <v>102</v>
      </c>
      <c r="B45" s="7" t="s">
        <v>103</v>
      </c>
      <c r="C45" s="10">
        <f>=IF(ISNUMBER(VLOOKUP("5.1.1.1",A2:W103,3,FALSE)),ROUND(VLOOKUP("5.1.1.1",A2:W103,3,FALSE),4),0) + IF(ISNUMBER(VLOOKUP("5.1.1.2",A2:W103,3,FALSE)),ROUND(VLOOKUP("5.1.1.2",A2:W103,3,FALSE),4),0) + IF(ISNUMBER(VLOOKUP("5.1.1.3",A2:W103,3,FALSE)),ROUND(VLOOKUP("5.1.1.3",A2:W103,3,FALSE),4),0) + IF(ISNA(VLOOKUP("5.1.1.4",A2:W103,3,FALSE)),0,ROUND(VLOOKUP("5.1.1.4",A2:W103,3,FALSE),4))</f>
      </c>
      <c r="D45" s="10">
        <f>=IF(ISNUMBER(VLOOKUP("5.1.1.1",A2:W103,4,FALSE)),ROUND(VLOOKUP("5.1.1.1",A2:W103,4,FALSE),4),0) + IF(ISNUMBER(VLOOKUP("5.1.1.2",A2:W103,4,FALSE)),ROUND(VLOOKUP("5.1.1.2",A2:W103,4,FALSE),4),0) + IF(ISNUMBER(VLOOKUP("5.1.1.3",A2:W103,4,FALSE)),ROUND(VLOOKUP("5.1.1.3",A2:W103,4,FALSE),4),0) + IF(ISNA(VLOOKUP("5.1.1.4",A2:W103,4,FALSE)),0,ROUND(VLOOKUP("5.1.1.4",A2:W103,4,FALSE),4))</f>
      </c>
      <c r="E45" s="10">
        <f>=IF(ISNUMBER(VLOOKUP("5.1.1.1",A2:W103,5,FALSE)),ROUND(VLOOKUP("5.1.1.1",A2:W103,5,FALSE),4),0) + IF(ISNUMBER(VLOOKUP("5.1.1.2",A2:W103,5,FALSE)),ROUND(VLOOKUP("5.1.1.2",A2:W103,5,FALSE),4),0) + IF(ISNUMBER(VLOOKUP("5.1.1.3",A2:W103,5,FALSE)),ROUND(VLOOKUP("5.1.1.3",A2:W103,5,FALSE),4),0) + IF(ISNA(VLOOKUP("5.1.1.4",A2:W103,5,FALSE)),0,ROUND(VLOOKUP("5.1.1.4",A2:W103,5,FALSE),4))</f>
      </c>
      <c r="F45" s="10">
        <f>=IF(ISNUMBER(VLOOKUP("5.1.1.1",A2:W103,6,FALSE)),ROUND(VLOOKUP("5.1.1.1",A2:W103,6,FALSE),4),0) + IF(ISNUMBER(VLOOKUP("5.1.1.2",A2:W103,6,FALSE)),ROUND(VLOOKUP("5.1.1.2",A2:W103,6,FALSE),4),0) + IF(ISNUMBER(VLOOKUP("5.1.1.3",A2:W103,6,FALSE)),ROUND(VLOOKUP("5.1.1.3",A2:W103,6,FALSE),4),0) + IF(ISNA(VLOOKUP("5.1.1.4",A2:W103,6,FALSE)),0,ROUND(VLOOKUP("5.1.1.4",A2:W103,6,FALSE),4))</f>
      </c>
      <c r="G45" s="10">
        <f>=IF(ISNUMBER(VLOOKUP("5.1.1.1",A2:W103,7,FALSE)),ROUND(VLOOKUP("5.1.1.1",A2:W103,7,FALSE),4),0) + IF(ISNUMBER(VLOOKUP("5.1.1.2",A2:W103,7,FALSE)),ROUND(VLOOKUP("5.1.1.2",A2:W103,7,FALSE),4),0) + IF(ISNUMBER(VLOOKUP("5.1.1.3",A2:W103,7,FALSE)),ROUND(VLOOKUP("5.1.1.3",A2:W103,7,FALSE),4),0) + IF(ISNA(VLOOKUP("5.1.1.4",A2:W103,7,FALSE)),0,ROUND(VLOOKUP("5.1.1.4",A2:W103,7,FALSE),4))</f>
      </c>
      <c r="H45" s="10">
        <f>=IF(ISNUMBER(VLOOKUP("5.1.1.1",A2:W103,8,FALSE)),ROUND(VLOOKUP("5.1.1.1",A2:W103,8,FALSE),4),0) + IF(ISNUMBER(VLOOKUP("5.1.1.2",A2:W103,8,FALSE)),ROUND(VLOOKUP("5.1.1.2",A2:W103,8,FALSE),4),0) + IF(ISNUMBER(VLOOKUP("5.1.1.3",A2:W103,8,FALSE)),ROUND(VLOOKUP("5.1.1.3",A2:W103,8,FALSE),4),0) + IF(ISNA(VLOOKUP("5.1.1.4",A2:W103,8,FALSE)),0,ROUND(VLOOKUP("5.1.1.4",A2:W103,8,FALSE),4))</f>
      </c>
      <c r="I45" s="10">
        <f>=IF(ISNUMBER(VLOOKUP("5.1.1.1",A2:W103,9,FALSE)),ROUND(VLOOKUP("5.1.1.1",A2:W103,9,FALSE),4),0) + IF(ISNUMBER(VLOOKUP("5.1.1.2",A2:W103,9,FALSE)),ROUND(VLOOKUP("5.1.1.2",A2:W103,9,FALSE),4),0) + IF(ISNUMBER(VLOOKUP("5.1.1.3",A2:W103,9,FALSE)),ROUND(VLOOKUP("5.1.1.3",A2:W103,9,FALSE),4),0) + IF(ISNA(VLOOKUP("5.1.1.4",A2:W103,9,FALSE)),0,ROUND(VLOOKUP("5.1.1.4",A2:W103,9,FALSE),4))</f>
      </c>
      <c r="J45" s="10">
        <f>=IF(ISNUMBER(VLOOKUP("5.1.1.1",A2:W103,10,FALSE)),ROUND(VLOOKUP("5.1.1.1",A2:W103,10,FALSE),4),0) + IF(ISNUMBER(VLOOKUP("5.1.1.2",A2:W103,10,FALSE)),ROUND(VLOOKUP("5.1.1.2",A2:W103,10,FALSE),4),0) + IF(ISNUMBER(VLOOKUP("5.1.1.3",A2:W103,10,FALSE)),ROUND(VLOOKUP("5.1.1.3",A2:W103,10,FALSE),4),0) + IF(ISNA(VLOOKUP("5.1.1.4",A2:W103,10,FALSE)),0,ROUND(VLOOKUP("5.1.1.4",A2:W103,10,FALSE),4))</f>
      </c>
      <c r="K45" s="11">
        <f>=IF(ISNUMBER(VLOOKUP("5.1.1.1",A2:W103,11,FALSE)),ROUND(VLOOKUP("5.1.1.1",A2:W103,11,FALSE),4),0) + IF(ISNUMBER(VLOOKUP("5.1.1.2",A2:W103,11,FALSE)),ROUND(VLOOKUP("5.1.1.2",A2:W103,11,FALSE),4),0) + IF(ISNUMBER(VLOOKUP("5.1.1.3",A2:W103,11,FALSE)),ROUND(VLOOKUP("5.1.1.3",A2:W103,11,FALSE),4),0) + IF(ISNA(VLOOKUP("5.1.1.4",A2:W103,11,FALSE)),0,ROUND(VLOOKUP("5.1.1.4",A2:W103,11,FALSE),4))</f>
      </c>
      <c r="L45" s="11">
        <f>=IF(ISNUMBER(VLOOKUP("5.1.1.1",A2:W103,12,FALSE)),ROUND(VLOOKUP("5.1.1.1",A2:W103,12,FALSE),4),0) + IF(ISNUMBER(VLOOKUP("5.1.1.2",A2:W103,12,FALSE)),ROUND(VLOOKUP("5.1.1.2",A2:W103,12,FALSE),4),0) + IF(ISNUMBER(VLOOKUP("5.1.1.3",A2:W103,12,FALSE)),ROUND(VLOOKUP("5.1.1.3",A2:W103,12,FALSE),4),0) + IF(ISNA(VLOOKUP("5.1.1.4",A2:W103,12,FALSE)),0,ROUND(VLOOKUP("5.1.1.4",A2:W103,12,FALSE),4))</f>
      </c>
      <c r="M45" s="11">
        <f>=IF(ISNUMBER(VLOOKUP("5.1.1.1",A2:W103,13,FALSE)),ROUND(VLOOKUP("5.1.1.1",A2:W103,13,FALSE),4),0) + IF(ISNUMBER(VLOOKUP("5.1.1.2",A2:W103,13,FALSE)),ROUND(VLOOKUP("5.1.1.2",A2:W103,13,FALSE),4),0) + IF(ISNUMBER(VLOOKUP("5.1.1.3",A2:W103,13,FALSE)),ROUND(VLOOKUP("5.1.1.3",A2:W103,13,FALSE),4),0) + IF(ISNA(VLOOKUP("5.1.1.4",A2:W103,13,FALSE)),0,ROUND(VLOOKUP("5.1.1.4",A2:W103,13,FALSE),4))</f>
      </c>
      <c r="N45" s="11">
        <f>=IF(ISNUMBER(VLOOKUP("5.1.1.1",A2:W103,14,FALSE)),ROUND(VLOOKUP("5.1.1.1",A2:W103,14,FALSE),4),0) + IF(ISNUMBER(VLOOKUP("5.1.1.2",A2:W103,14,FALSE)),ROUND(VLOOKUP("5.1.1.2",A2:W103,14,FALSE),4),0) + IF(ISNUMBER(VLOOKUP("5.1.1.3",A2:W103,14,FALSE)),ROUND(VLOOKUP("5.1.1.3",A2:W103,14,FALSE),4),0) + IF(ISNA(VLOOKUP("5.1.1.4",A2:W103,14,FALSE)),0,ROUND(VLOOKUP("5.1.1.4",A2:W103,14,FALSE),4))</f>
      </c>
      <c r="O45" s="11">
        <f>=IF(ISNUMBER(VLOOKUP("5.1.1.1",A2:W103,15,FALSE)),ROUND(VLOOKUP("5.1.1.1",A2:W103,15,FALSE),4),0) + IF(ISNUMBER(VLOOKUP("5.1.1.2",A2:W103,15,FALSE)),ROUND(VLOOKUP("5.1.1.2",A2:W103,15,FALSE),4),0) + IF(ISNUMBER(VLOOKUP("5.1.1.3",A2:W103,15,FALSE)),ROUND(VLOOKUP("5.1.1.3",A2:W103,15,FALSE),4),0) + IF(ISNA(VLOOKUP("5.1.1.4",A2:W103,15,FALSE)),0,ROUND(VLOOKUP("5.1.1.4",A2:W103,15,FALSE),4))</f>
      </c>
      <c r="P45" s="11">
        <f>=IF(ISNUMBER(VLOOKUP("5.1.1.1",A2:W103,16,FALSE)),ROUND(VLOOKUP("5.1.1.1",A2:W103,16,FALSE),4),0) + IF(ISNUMBER(VLOOKUP("5.1.1.2",A2:W103,16,FALSE)),ROUND(VLOOKUP("5.1.1.2",A2:W103,16,FALSE),4),0) + IF(ISNUMBER(VLOOKUP("5.1.1.3",A2:W103,16,FALSE)),ROUND(VLOOKUP("5.1.1.3",A2:W103,16,FALSE),4),0) + IF(ISNA(VLOOKUP("5.1.1.4",A2:W103,16,FALSE)),0,ROUND(VLOOKUP("5.1.1.4",A2:W103,16,FALSE),4))</f>
      </c>
      <c r="Q45" s="11">
        <f>=IF(ISNUMBER(VLOOKUP("5.1.1.1",A2:W103,17,FALSE)),ROUND(VLOOKUP("5.1.1.1",A2:W103,17,FALSE),4),0) + IF(ISNUMBER(VLOOKUP("5.1.1.2",A2:W103,17,FALSE)),ROUND(VLOOKUP("5.1.1.2",A2:W103,17,FALSE),4),0) + IF(ISNUMBER(VLOOKUP("5.1.1.3",A2:W103,17,FALSE)),ROUND(VLOOKUP("5.1.1.3",A2:W103,17,FALSE),4),0) + IF(ISNA(VLOOKUP("5.1.1.4",A2:W103,17,FALSE)),0,ROUND(VLOOKUP("5.1.1.4",A2:W103,17,FALSE),4))</f>
      </c>
      <c r="R45" s="11">
        <f>=IF(ISNUMBER(VLOOKUP("5.1.1.1",A2:W103,18,FALSE)),ROUND(VLOOKUP("5.1.1.1",A2:W103,18,FALSE),4),0) + IF(ISNUMBER(VLOOKUP("5.1.1.2",A2:W103,18,FALSE)),ROUND(VLOOKUP("5.1.1.2",A2:W103,18,FALSE),4),0) + IF(ISNUMBER(VLOOKUP("5.1.1.3",A2:W103,18,FALSE)),ROUND(VLOOKUP("5.1.1.3",A2:W103,18,FALSE),4),0) + IF(ISNA(VLOOKUP("5.1.1.4",A2:W103,18,FALSE)),0,ROUND(VLOOKUP("5.1.1.4",A2:W103,18,FALSE),4))</f>
      </c>
      <c r="S45" s="11">
        <f>=IF(ISNUMBER(VLOOKUP("5.1.1.1",A2:W103,19,FALSE)),ROUND(VLOOKUP("5.1.1.1",A2:W103,19,FALSE),4),0) + IF(ISNUMBER(VLOOKUP("5.1.1.2",A2:W103,19,FALSE)),ROUND(VLOOKUP("5.1.1.2",A2:W103,19,FALSE),4),0) + IF(ISNUMBER(VLOOKUP("5.1.1.3",A2:W103,19,FALSE)),ROUND(VLOOKUP("5.1.1.3",A2:W103,19,FALSE),4),0) + IF(ISNA(VLOOKUP("5.1.1.4",A2:W103,19,FALSE)),0,ROUND(VLOOKUP("5.1.1.4",A2:W103,19,FALSE),4))</f>
      </c>
      <c r="T45" s="11">
        <f>=IF(ISNUMBER(VLOOKUP("5.1.1.1",A2:W103,20,FALSE)),ROUND(VLOOKUP("5.1.1.1",A2:W103,20,FALSE),4),0) + IF(ISNUMBER(VLOOKUP("5.1.1.2",A2:W103,20,FALSE)),ROUND(VLOOKUP("5.1.1.2",A2:W103,20,FALSE),4),0) + IF(ISNUMBER(VLOOKUP("5.1.1.3",A2:W103,20,FALSE)),ROUND(VLOOKUP("5.1.1.3",A2:W103,20,FALSE),4),0) + IF(ISNA(VLOOKUP("5.1.1.4",A2:W103,20,FALSE)),0,ROUND(VLOOKUP("5.1.1.4",A2:W103,20,FALSE),4))</f>
      </c>
      <c r="U45" s="11">
        <f>=IF(ISNUMBER(VLOOKUP("5.1.1.1",A2:W103,21,FALSE)),ROUND(VLOOKUP("5.1.1.1",A2:W103,21,FALSE),4),0) + IF(ISNUMBER(VLOOKUP("5.1.1.2",A2:W103,21,FALSE)),ROUND(VLOOKUP("5.1.1.2",A2:W103,21,FALSE),4),0) + IF(ISNUMBER(VLOOKUP("5.1.1.3",A2:W103,21,FALSE)),ROUND(VLOOKUP("5.1.1.3",A2:W103,21,FALSE),4),0) + IF(ISNA(VLOOKUP("5.1.1.4",A2:W103,21,FALSE)),0,ROUND(VLOOKUP("5.1.1.4",A2:W103,21,FALSE),4))</f>
      </c>
      <c r="V45" s="11">
        <f>=IF(ISNUMBER(VLOOKUP("5.1.1.1",A2:W103,22,FALSE)),ROUND(VLOOKUP("5.1.1.1",A2:W103,22,FALSE),4),0) + IF(ISNUMBER(VLOOKUP("5.1.1.2",A2:W103,22,FALSE)),ROUND(VLOOKUP("5.1.1.2",A2:W103,22,FALSE),4),0) + IF(ISNUMBER(VLOOKUP("5.1.1.3",A2:W103,22,FALSE)),ROUND(VLOOKUP("5.1.1.3",A2:W103,22,FALSE),4),0) + IF(ISNA(VLOOKUP("5.1.1.4",A2:W103,22,FALSE)),0,ROUND(VLOOKUP("5.1.1.4",A2:W103,22,FALSE),4))</f>
      </c>
      <c r="W45" s="11">
        <f>=IF(ISNUMBER(VLOOKUP("5.1.1.1",A2:W103,23,FALSE)),ROUND(VLOOKUP("5.1.1.1",A2:W103,23,FALSE),4),0) + IF(ISNUMBER(VLOOKUP("5.1.1.2",A2:W103,23,FALSE)),ROUND(VLOOKUP("5.1.1.2",A2:W103,23,FALSE),4),0) + IF(ISNUMBER(VLOOKUP("5.1.1.3",A2:W103,23,FALSE)),ROUND(VLOOKUP("5.1.1.3",A2:W103,23,FALSE),4),0) + IF(ISNA(VLOOKUP("5.1.1.4",A2:W103,23,FALSE)),0,ROUND(VLOOKUP("5.1.1.4",A2:W103,23,FALSE),4))</f>
      </c>
    </row>
    <row r="46" ht="27.0833320617676" customHeight="1">
      <c r="A46" s="6" t="s">
        <v>104</v>
      </c>
      <c r="B46" s="7" t="s">
        <v>105</v>
      </c>
      <c r="C46" s="10">
        <v>0</v>
      </c>
      <c r="D46" s="10">
        <v>1381870</v>
      </c>
      <c r="E46" s="10">
        <v>28300</v>
      </c>
      <c r="F46" s="10">
        <v>1591088</v>
      </c>
      <c r="G46" s="10">
        <v>1200000</v>
      </c>
      <c r="H46" s="10">
        <v>1200000</v>
      </c>
      <c r="I46" s="10">
        <v>0</v>
      </c>
      <c r="J46" s="10">
        <v>0</v>
      </c>
      <c r="K46" s="11">
        <v>295000</v>
      </c>
      <c r="L46" s="11">
        <v>946707.32</v>
      </c>
      <c r="M46" s="11">
        <v>0</v>
      </c>
      <c r="N46" s="11">
        <v>0</v>
      </c>
      <c r="O46" s="11">
        <v>0</v>
      </c>
      <c r="P46" s="11">
        <v>0</v>
      </c>
      <c r="Q46" s="11">
        <v>0</v>
      </c>
      <c r="R46" s="11">
        <v>0</v>
      </c>
      <c r="S46" s="11">
        <v>0</v>
      </c>
      <c r="T46" s="11">
        <v>0</v>
      </c>
      <c r="U46" s="11">
        <v>0</v>
      </c>
      <c r="V46" s="11">
        <v>0</v>
      </c>
      <c r="W46" s="11">
        <v>0</v>
      </c>
    </row>
    <row r="47" ht="27.0833320617676" customHeight="1">
      <c r="A47" s="6" t="s">
        <v>106</v>
      </c>
      <c r="B47" s="7" t="s">
        <v>107</v>
      </c>
      <c r="C47" s="10">
        <v>0</v>
      </c>
      <c r="D47" s="10">
        <v>0</v>
      </c>
      <c r="E47" s="10">
        <v>0</v>
      </c>
      <c r="F47" s="10">
        <v>0</v>
      </c>
      <c r="G47" s="10">
        <v>0</v>
      </c>
      <c r="H47" s="10">
        <v>0</v>
      </c>
      <c r="I47" s="10">
        <v>0</v>
      </c>
      <c r="J47" s="10">
        <v>0</v>
      </c>
      <c r="K47" s="11">
        <v>0</v>
      </c>
      <c r="L47" s="11">
        <v>0</v>
      </c>
      <c r="M47" s="11">
        <v>0</v>
      </c>
      <c r="N47" s="11">
        <v>0</v>
      </c>
      <c r="O47" s="11">
        <v>0</v>
      </c>
      <c r="P47" s="11">
        <v>0</v>
      </c>
      <c r="Q47" s="11">
        <v>0</v>
      </c>
      <c r="R47" s="11">
        <v>0</v>
      </c>
      <c r="S47" s="11">
        <v>0</v>
      </c>
      <c r="T47" s="11">
        <v>0</v>
      </c>
      <c r="U47" s="11">
        <v>0</v>
      </c>
      <c r="V47" s="11">
        <v>0</v>
      </c>
      <c r="W47" s="11">
        <v>0</v>
      </c>
    </row>
    <row r="48" ht="27.0833320617676" customHeight="1">
      <c r="A48" s="6" t="s">
        <v>108</v>
      </c>
      <c r="B48" s="7" t="s">
        <v>109</v>
      </c>
      <c r="C48" s="10">
        <f>=IF(ISNUMBER(VLOOKUP("5.1.1.3.1",A2:W103,3,FALSE)),ROUND(VLOOKUP("5.1.1.3.1",A2:W103,3,FALSE),4),0) + IF(ISNUMBER(VLOOKUP("5.1.1.3.2",A2:W103,3,FALSE)),ROUND(VLOOKUP("5.1.1.3.2",A2:W103,3,FALSE),4),0) + IF(ISNUMBER(VLOOKUP("5.1.1.3.3",A2:W103,3,FALSE)),ROUND(VLOOKUP("5.1.1.3.3",A2:W103,3,FALSE),4),0)</f>
      </c>
      <c r="D48" s="10">
        <f>=IF(ISNUMBER(VLOOKUP("5.1.1.3.1",A2:W103,4,FALSE)),ROUND(VLOOKUP("5.1.1.3.1",A2:W103,4,FALSE),4),0) + IF(ISNUMBER(VLOOKUP("5.1.1.3.2",A2:W103,4,FALSE)),ROUND(VLOOKUP("5.1.1.3.2",A2:W103,4,FALSE),4),0) + IF(ISNUMBER(VLOOKUP("5.1.1.3.3",A2:W103,4,FALSE)),ROUND(VLOOKUP("5.1.1.3.3",A2:W103,4,FALSE),4),0)</f>
      </c>
      <c r="E48" s="10">
        <f>=IF(ISNUMBER(VLOOKUP("5.1.1.3.1",A2:W103,5,FALSE)),ROUND(VLOOKUP("5.1.1.3.1",A2:W103,5,FALSE),4),0) + IF(ISNUMBER(VLOOKUP("5.1.1.3.2",A2:W103,5,FALSE)),ROUND(VLOOKUP("5.1.1.3.2",A2:W103,5,FALSE),4),0) + IF(ISNUMBER(VLOOKUP("5.1.1.3.3",A2:W103,5,FALSE)),ROUND(VLOOKUP("5.1.1.3.3",A2:W103,5,FALSE),4),0)</f>
      </c>
      <c r="F48" s="10">
        <f>=IF(ISNUMBER(VLOOKUP("5.1.1.3.1",A2:W103,6,FALSE)),ROUND(VLOOKUP("5.1.1.3.1",A2:W103,6,FALSE),4),0) + IF(ISNUMBER(VLOOKUP("5.1.1.3.2",A2:W103,6,FALSE)),ROUND(VLOOKUP("5.1.1.3.2",A2:W103,6,FALSE),4),0) + IF(ISNUMBER(VLOOKUP("5.1.1.3.3",A2:W103,6,FALSE)),ROUND(VLOOKUP("5.1.1.3.3",A2:W103,6,FALSE),4),0)</f>
      </c>
      <c r="G48" s="10">
        <f>=IF(ISNUMBER(VLOOKUP("5.1.1.3.1",A2:W103,7,FALSE)),ROUND(VLOOKUP("5.1.1.3.1",A2:W103,7,FALSE),4),0) + IF(ISNUMBER(VLOOKUP("5.1.1.3.2",A2:W103,7,FALSE)),ROUND(VLOOKUP("5.1.1.3.2",A2:W103,7,FALSE),4),0) + IF(ISNUMBER(VLOOKUP("5.1.1.3.3",A2:W103,7,FALSE)),ROUND(VLOOKUP("5.1.1.3.3",A2:W103,7,FALSE),4),0)</f>
      </c>
      <c r="H48" s="10">
        <f>=IF(ISNUMBER(VLOOKUP("5.1.1.3.1",A2:W103,8,FALSE)),ROUND(VLOOKUP("5.1.1.3.1",A2:W103,8,FALSE),4),0) + IF(ISNUMBER(VLOOKUP("5.1.1.3.2",A2:W103,8,FALSE)),ROUND(VLOOKUP("5.1.1.3.2",A2:W103,8,FALSE),4),0) + IF(ISNUMBER(VLOOKUP("5.1.1.3.3",A2:W103,8,FALSE)),ROUND(VLOOKUP("5.1.1.3.3",A2:W103,8,FALSE),4),0)</f>
      </c>
      <c r="I48" s="10">
        <f>=IF(ISNUMBER(VLOOKUP("5.1.1.3.1",A2:W103,9,FALSE)),ROUND(VLOOKUP("5.1.1.3.1",A2:W103,9,FALSE),4),0) + IF(ISNUMBER(VLOOKUP("5.1.1.3.2",A2:W103,9,FALSE)),ROUND(VLOOKUP("5.1.1.3.2",A2:W103,9,FALSE),4),0) + IF(ISNUMBER(VLOOKUP("5.1.1.3.3",A2:W103,9,FALSE)),ROUND(VLOOKUP("5.1.1.3.3",A2:W103,9,FALSE),4),0)</f>
      </c>
      <c r="J48" s="10">
        <f>=IF(ISNUMBER(VLOOKUP("5.1.1.3.1",A2:W103,10,FALSE)),ROUND(VLOOKUP("5.1.1.3.1",A2:W103,10,FALSE),4),0) + IF(ISNUMBER(VLOOKUP("5.1.1.3.2",A2:W103,10,FALSE)),ROUND(VLOOKUP("5.1.1.3.2",A2:W103,10,FALSE),4),0) + IF(ISNUMBER(VLOOKUP("5.1.1.3.3",A2:W103,10,FALSE)),ROUND(VLOOKUP("5.1.1.3.3",A2:W103,10,FALSE),4),0)</f>
      </c>
      <c r="K48" s="11">
        <f>=IF(ISNUMBER(VLOOKUP("5.1.1.3.1",A2:W103,11,FALSE)),ROUND(VLOOKUP("5.1.1.3.1",A2:W103,11,FALSE),4),0) + IF(ISNUMBER(VLOOKUP("5.1.1.3.2",A2:W103,11,FALSE)),ROUND(VLOOKUP("5.1.1.3.2",A2:W103,11,FALSE),4),0) + IF(ISNUMBER(VLOOKUP("5.1.1.3.3",A2:W103,11,FALSE)),ROUND(VLOOKUP("5.1.1.3.3",A2:W103,11,FALSE),4),0)</f>
      </c>
      <c r="L48" s="11">
        <f>=IF(ISNUMBER(VLOOKUP("5.1.1.3.1",A2:W103,12,FALSE)),ROUND(VLOOKUP("5.1.1.3.1",A2:W103,12,FALSE),4),0) + IF(ISNUMBER(VLOOKUP("5.1.1.3.2",A2:W103,12,FALSE)),ROUND(VLOOKUP("5.1.1.3.2",A2:W103,12,FALSE),4),0) + IF(ISNUMBER(VLOOKUP("5.1.1.3.3",A2:W103,12,FALSE)),ROUND(VLOOKUP("5.1.1.3.3",A2:W103,12,FALSE),4),0)</f>
      </c>
      <c r="M48" s="11">
        <f>=IF(ISNUMBER(VLOOKUP("5.1.1.3.1",A2:W103,13,FALSE)),ROUND(VLOOKUP("5.1.1.3.1",A2:W103,13,FALSE),4),0) + IF(ISNUMBER(VLOOKUP("5.1.1.3.2",A2:W103,13,FALSE)),ROUND(VLOOKUP("5.1.1.3.2",A2:W103,13,FALSE),4),0) + IF(ISNUMBER(VLOOKUP("5.1.1.3.3",A2:W103,13,FALSE)),ROUND(VLOOKUP("5.1.1.3.3",A2:W103,13,FALSE),4),0)</f>
      </c>
      <c r="N48" s="11">
        <f>=IF(ISNUMBER(VLOOKUP("5.1.1.3.1",A2:W103,14,FALSE)),ROUND(VLOOKUP("5.1.1.3.1",A2:W103,14,FALSE),4),0) + IF(ISNUMBER(VLOOKUP("5.1.1.3.2",A2:W103,14,FALSE)),ROUND(VLOOKUP("5.1.1.3.2",A2:W103,14,FALSE),4),0) + IF(ISNUMBER(VLOOKUP("5.1.1.3.3",A2:W103,14,FALSE)),ROUND(VLOOKUP("5.1.1.3.3",A2:W103,14,FALSE),4),0)</f>
      </c>
      <c r="O48" s="11">
        <f>=IF(ISNUMBER(VLOOKUP("5.1.1.3.1",A2:W103,15,FALSE)),ROUND(VLOOKUP("5.1.1.3.1",A2:W103,15,FALSE),4),0) + IF(ISNUMBER(VLOOKUP("5.1.1.3.2",A2:W103,15,FALSE)),ROUND(VLOOKUP("5.1.1.3.2",A2:W103,15,FALSE),4),0) + IF(ISNUMBER(VLOOKUP("5.1.1.3.3",A2:W103,15,FALSE)),ROUND(VLOOKUP("5.1.1.3.3",A2:W103,15,FALSE),4),0)</f>
      </c>
      <c r="P48" s="11">
        <f>=IF(ISNUMBER(VLOOKUP("5.1.1.3.1",A2:W103,16,FALSE)),ROUND(VLOOKUP("5.1.1.3.1",A2:W103,16,FALSE),4),0) + IF(ISNUMBER(VLOOKUP("5.1.1.3.2",A2:W103,16,FALSE)),ROUND(VLOOKUP("5.1.1.3.2",A2:W103,16,FALSE),4),0) + IF(ISNUMBER(VLOOKUP("5.1.1.3.3",A2:W103,16,FALSE)),ROUND(VLOOKUP("5.1.1.3.3",A2:W103,16,FALSE),4),0)</f>
      </c>
      <c r="Q48" s="11">
        <f>=IF(ISNUMBER(VLOOKUP("5.1.1.3.1",A2:W103,17,FALSE)),ROUND(VLOOKUP("5.1.1.3.1",A2:W103,17,FALSE),4),0) + IF(ISNUMBER(VLOOKUP("5.1.1.3.2",A2:W103,17,FALSE)),ROUND(VLOOKUP("5.1.1.3.2",A2:W103,17,FALSE),4),0) + IF(ISNUMBER(VLOOKUP("5.1.1.3.3",A2:W103,17,FALSE)),ROUND(VLOOKUP("5.1.1.3.3",A2:W103,17,FALSE),4),0)</f>
      </c>
      <c r="R48" s="11">
        <f>=IF(ISNUMBER(VLOOKUP("5.1.1.3.1",A2:W103,18,FALSE)),ROUND(VLOOKUP("5.1.1.3.1",A2:W103,18,FALSE),4),0) + IF(ISNUMBER(VLOOKUP("5.1.1.3.2",A2:W103,18,FALSE)),ROUND(VLOOKUP("5.1.1.3.2",A2:W103,18,FALSE),4),0) + IF(ISNUMBER(VLOOKUP("5.1.1.3.3",A2:W103,18,FALSE)),ROUND(VLOOKUP("5.1.1.3.3",A2:W103,18,FALSE),4),0)</f>
      </c>
      <c r="S48" s="11">
        <f>=IF(ISNUMBER(VLOOKUP("5.1.1.3.1",A2:W103,19,FALSE)),ROUND(VLOOKUP("5.1.1.3.1",A2:W103,19,FALSE),4),0) + IF(ISNUMBER(VLOOKUP("5.1.1.3.2",A2:W103,19,FALSE)),ROUND(VLOOKUP("5.1.1.3.2",A2:W103,19,FALSE),4),0) + IF(ISNUMBER(VLOOKUP("5.1.1.3.3",A2:W103,19,FALSE)),ROUND(VLOOKUP("5.1.1.3.3",A2:W103,19,FALSE),4),0)</f>
      </c>
      <c r="T48" s="11">
        <f>=IF(ISNUMBER(VLOOKUP("5.1.1.3.1",A2:W103,20,FALSE)),ROUND(VLOOKUP("5.1.1.3.1",A2:W103,20,FALSE),4),0) + IF(ISNUMBER(VLOOKUP("5.1.1.3.2",A2:W103,20,FALSE)),ROUND(VLOOKUP("5.1.1.3.2",A2:W103,20,FALSE),4),0) + IF(ISNUMBER(VLOOKUP("5.1.1.3.3",A2:W103,20,FALSE)),ROUND(VLOOKUP("5.1.1.3.3",A2:W103,20,FALSE),4),0)</f>
      </c>
      <c r="U48" s="11">
        <f>=IF(ISNUMBER(VLOOKUP("5.1.1.3.1",A2:W103,21,FALSE)),ROUND(VLOOKUP("5.1.1.3.1",A2:W103,21,FALSE),4),0) + IF(ISNUMBER(VLOOKUP("5.1.1.3.2",A2:W103,21,FALSE)),ROUND(VLOOKUP("5.1.1.3.2",A2:W103,21,FALSE),4),0) + IF(ISNUMBER(VLOOKUP("5.1.1.3.3",A2:W103,21,FALSE)),ROUND(VLOOKUP("5.1.1.3.3",A2:W103,21,FALSE),4),0)</f>
      </c>
      <c r="V48" s="11">
        <f>=IF(ISNUMBER(VLOOKUP("5.1.1.3.1",A2:W103,22,FALSE)),ROUND(VLOOKUP("5.1.1.3.1",A2:W103,22,FALSE),4),0) + IF(ISNUMBER(VLOOKUP("5.1.1.3.2",A2:W103,22,FALSE)),ROUND(VLOOKUP("5.1.1.3.2",A2:W103,22,FALSE),4),0) + IF(ISNUMBER(VLOOKUP("5.1.1.3.3",A2:W103,22,FALSE)),ROUND(VLOOKUP("5.1.1.3.3",A2:W103,22,FALSE),4),0)</f>
      </c>
      <c r="W48" s="11">
        <f>=IF(ISNUMBER(VLOOKUP("5.1.1.3.1",A2:W103,23,FALSE)),ROUND(VLOOKUP("5.1.1.3.1",A2:W103,23,FALSE),4),0) + IF(ISNUMBER(VLOOKUP("5.1.1.3.2",A2:W103,23,FALSE)),ROUND(VLOOKUP("5.1.1.3.2",A2:W103,23,FALSE),4),0) + IF(ISNUMBER(VLOOKUP("5.1.1.3.3",A2:W103,23,FALSE)),ROUND(VLOOKUP("5.1.1.3.3",A2:W103,23,FALSE),4),0)</f>
      </c>
    </row>
    <row r="49" ht="14.2083320617676" customHeight="1">
      <c r="A49" s="6" t="s">
        <v>110</v>
      </c>
      <c r="B49" s="7" t="s">
        <v>111</v>
      </c>
      <c r="C49" s="10">
        <v>0</v>
      </c>
      <c r="D49" s="10">
        <v>0</v>
      </c>
      <c r="E49" s="10">
        <v>0</v>
      </c>
      <c r="F49" s="10">
        <v>0</v>
      </c>
      <c r="G49" s="10">
        <v>0</v>
      </c>
      <c r="H49" s="10">
        <v>0</v>
      </c>
      <c r="I49" s="10">
        <v>0</v>
      </c>
      <c r="J49" s="10">
        <v>0</v>
      </c>
      <c r="K49" s="11">
        <v>0</v>
      </c>
      <c r="L49" s="11">
        <v>0</v>
      </c>
      <c r="M49" s="11">
        <v>0</v>
      </c>
      <c r="N49" s="11">
        <v>0</v>
      </c>
      <c r="O49" s="11">
        <v>0</v>
      </c>
      <c r="P49" s="11">
        <v>0</v>
      </c>
      <c r="Q49" s="11">
        <v>0</v>
      </c>
      <c r="R49" s="11">
        <v>0</v>
      </c>
      <c r="S49" s="11">
        <v>0</v>
      </c>
      <c r="T49" s="11">
        <v>0</v>
      </c>
      <c r="U49" s="11">
        <v>0</v>
      </c>
      <c r="V49" s="11">
        <v>0</v>
      </c>
      <c r="W49" s="11">
        <v>0</v>
      </c>
    </row>
    <row r="50" ht="27.0833320617676" customHeight="1">
      <c r="A50" s="6" t="s">
        <v>112</v>
      </c>
      <c r="B50" s="7" t="s">
        <v>113</v>
      </c>
      <c r="C50" s="10">
        <v>0</v>
      </c>
      <c r="D50" s="10">
        <v>0</v>
      </c>
      <c r="E50" s="10">
        <v>0</v>
      </c>
      <c r="F50" s="10">
        <v>0</v>
      </c>
      <c r="G50" s="10">
        <v>0</v>
      </c>
      <c r="H50" s="10">
        <v>0</v>
      </c>
      <c r="I50" s="10">
        <v>0</v>
      </c>
      <c r="J50" s="10">
        <v>0</v>
      </c>
      <c r="K50" s="11">
        <v>0</v>
      </c>
      <c r="L50" s="11">
        <v>0</v>
      </c>
      <c r="M50" s="11">
        <v>0</v>
      </c>
      <c r="N50" s="11">
        <v>0</v>
      </c>
      <c r="O50" s="11">
        <v>0</v>
      </c>
      <c r="P50" s="11">
        <v>0</v>
      </c>
      <c r="Q50" s="11">
        <v>0</v>
      </c>
      <c r="R50" s="11">
        <v>0</v>
      </c>
      <c r="S50" s="11">
        <v>0</v>
      </c>
      <c r="T50" s="11">
        <v>0</v>
      </c>
      <c r="U50" s="11">
        <v>0</v>
      </c>
      <c r="V50" s="11">
        <v>0</v>
      </c>
      <c r="W50" s="11">
        <v>0</v>
      </c>
    </row>
    <row r="51" ht="14.2083320617676" customHeight="1">
      <c r="A51" s="6" t="s">
        <v>114</v>
      </c>
      <c r="B51" s="7" t="s">
        <v>115</v>
      </c>
      <c r="C51" s="10">
        <v>0</v>
      </c>
      <c r="D51" s="10">
        <v>0</v>
      </c>
      <c r="E51" s="10">
        <v>0</v>
      </c>
      <c r="F51" s="10">
        <v>0</v>
      </c>
      <c r="G51" s="10">
        <v>0</v>
      </c>
      <c r="H51" s="10">
        <v>0</v>
      </c>
      <c r="I51" s="10">
        <v>0</v>
      </c>
      <c r="J51" s="10">
        <v>0</v>
      </c>
      <c r="K51" s="11">
        <v>0</v>
      </c>
      <c r="L51" s="11">
        <v>0</v>
      </c>
      <c r="M51" s="11">
        <v>0</v>
      </c>
      <c r="N51" s="11">
        <v>0</v>
      </c>
      <c r="O51" s="11">
        <v>0</v>
      </c>
      <c r="P51" s="11">
        <v>0</v>
      </c>
      <c r="Q51" s="11">
        <v>0</v>
      </c>
      <c r="R51" s="11">
        <v>0</v>
      </c>
      <c r="S51" s="11">
        <v>0</v>
      </c>
      <c r="T51" s="11">
        <v>0</v>
      </c>
      <c r="U51" s="11">
        <v>0</v>
      </c>
      <c r="V51" s="11">
        <v>0</v>
      </c>
      <c r="W51" s="11">
        <v>0</v>
      </c>
    </row>
    <row r="52" ht="27.0833320617676" customHeight="1">
      <c r="A52" s="6" t="s">
        <v>116</v>
      </c>
      <c r="B52" s="7" t="s">
        <v>117</v>
      </c>
      <c r="C52" s="10">
        <v>0</v>
      </c>
      <c r="D52" s="10">
        <v>0</v>
      </c>
      <c r="E52" s="10">
        <v>0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1">
        <v>0</v>
      </c>
      <c r="L52" s="11">
        <v>0</v>
      </c>
      <c r="M52" s="11">
        <v>0</v>
      </c>
      <c r="N52" s="11">
        <v>0</v>
      </c>
      <c r="O52" s="11">
        <v>0</v>
      </c>
      <c r="P52" s="11">
        <v>0</v>
      </c>
      <c r="Q52" s="11">
        <v>0</v>
      </c>
      <c r="R52" s="11">
        <v>0</v>
      </c>
      <c r="S52" s="11">
        <v>0</v>
      </c>
      <c r="T52" s="11">
        <v>0</v>
      </c>
      <c r="U52" s="11">
        <v>0</v>
      </c>
      <c r="V52" s="11">
        <v>0</v>
      </c>
      <c r="W52" s="11">
        <v>0</v>
      </c>
    </row>
    <row r="53" ht="14.2083320617676" customHeight="1">
      <c r="A53" s="2" t="s">
        <v>118</v>
      </c>
      <c r="B53" s="3" t="s">
        <v>119</v>
      </c>
      <c r="C53" s="12">
        <v>0</v>
      </c>
      <c r="D53" s="12">
        <v>0</v>
      </c>
      <c r="E53" s="12">
        <v>0</v>
      </c>
      <c r="F53" s="12">
        <v>0</v>
      </c>
      <c r="G53" s="12">
        <v>0</v>
      </c>
      <c r="H53" s="12">
        <v>0</v>
      </c>
      <c r="I53" s="12">
        <v>0</v>
      </c>
      <c r="J53" s="12">
        <v>0</v>
      </c>
      <c r="K53" s="13">
        <v>0</v>
      </c>
      <c r="L53" s="13">
        <v>0</v>
      </c>
      <c r="M53" s="13">
        <v>0</v>
      </c>
      <c r="N53" s="13">
        <v>0</v>
      </c>
      <c r="O53" s="13">
        <v>0</v>
      </c>
      <c r="P53" s="13">
        <v>0</v>
      </c>
      <c r="Q53" s="13">
        <v>0</v>
      </c>
      <c r="R53" s="13">
        <v>0</v>
      </c>
      <c r="S53" s="13">
        <v>0</v>
      </c>
      <c r="T53" s="13">
        <v>0</v>
      </c>
      <c r="U53" s="13">
        <v>0</v>
      </c>
      <c r="V53" s="13">
        <v>0</v>
      </c>
      <c r="W53" s="13">
        <v>0</v>
      </c>
    </row>
    <row r="54" ht="14.2083320617676" customHeight="1">
      <c r="A54" s="2" t="s">
        <v>120</v>
      </c>
      <c r="B54" s="3" t="s">
        <v>121</v>
      </c>
      <c r="C54" s="4">
        <v>0</v>
      </c>
      <c r="D54" s="4">
        <v>15527398.17</v>
      </c>
      <c r="E54" s="4">
        <v>18849117.02</v>
      </c>
      <c r="F54" s="4">
        <v>15315818.02</v>
      </c>
      <c r="G54" s="4">
        <v>16858419.02</v>
      </c>
      <c r="H54" s="4">
        <v>18164768.02</v>
      </c>
      <c r="I54" s="4">
        <v>35439439.13</v>
      </c>
      <c r="J54" s="4">
        <v>24725337.12</v>
      </c>
      <c r="K54" s="5">
        <v>29653230.26</v>
      </c>
      <c r="L54" s="5">
        <v>22646753.84</v>
      </c>
      <c r="M54" s="5">
        <v>21796753.84</v>
      </c>
      <c r="N54" s="5">
        <v>19946753.84</v>
      </c>
      <c r="O54" s="5">
        <v>17946185.82</v>
      </c>
      <c r="P54" s="5">
        <v>16016185.82</v>
      </c>
      <c r="Q54" s="5">
        <v>14126185.82</v>
      </c>
      <c r="R54" s="5">
        <v>11800000</v>
      </c>
      <c r="S54" s="5">
        <v>9300000</v>
      </c>
      <c r="T54" s="5">
        <v>6675000</v>
      </c>
      <c r="U54" s="5">
        <v>4050000</v>
      </c>
      <c r="V54" s="5">
        <v>1425000</v>
      </c>
      <c r="W54" s="5">
        <v>0</v>
      </c>
    </row>
    <row r="55" ht="27.0833320617676" customHeight="1">
      <c r="A55" s="6" t="s">
        <v>122</v>
      </c>
      <c r="B55" s="7" t="s">
        <v>123</v>
      </c>
      <c r="C55" s="10">
        <v>0</v>
      </c>
      <c r="D55" s="10">
        <v>0</v>
      </c>
      <c r="E55" s="10">
        <v>0</v>
      </c>
      <c r="F55" s="10">
        <v>0</v>
      </c>
      <c r="G55" s="10">
        <v>0</v>
      </c>
      <c r="H55" s="10">
        <v>0</v>
      </c>
      <c r="I55" s="10">
        <v>0</v>
      </c>
      <c r="J55" s="10">
        <v>0</v>
      </c>
      <c r="K55" s="11">
        <v>0</v>
      </c>
      <c r="L55" s="11">
        <v>0</v>
      </c>
      <c r="M55" s="11">
        <v>0</v>
      </c>
      <c r="N55" s="11">
        <v>0</v>
      </c>
      <c r="O55" s="11">
        <v>0</v>
      </c>
      <c r="P55" s="11">
        <v>0</v>
      </c>
      <c r="Q55" s="11">
        <v>0</v>
      </c>
      <c r="R55" s="11">
        <v>0</v>
      </c>
      <c r="S55" s="11">
        <v>0</v>
      </c>
      <c r="T55" s="11">
        <v>0</v>
      </c>
      <c r="U55" s="11">
        <v>0</v>
      </c>
      <c r="V55" s="11">
        <v>0</v>
      </c>
      <c r="W55" s="11">
        <v>0</v>
      </c>
    </row>
    <row r="56" ht="27.0833320617676" customHeight="1">
      <c r="A56" s="2" t="s">
        <v>124</v>
      </c>
      <c r="B56" s="3" t="s">
        <v>125</v>
      </c>
      <c r="C56" s="4" t="s">
        <v>126</v>
      </c>
      <c r="D56" s="4" t="s">
        <v>126</v>
      </c>
      <c r="E56" s="4" t="s">
        <v>126</v>
      </c>
      <c r="F56" s="4" t="s">
        <v>126</v>
      </c>
      <c r="G56" s="4" t="s">
        <v>126</v>
      </c>
      <c r="H56" s="4" t="s">
        <v>126</v>
      </c>
      <c r="I56" s="4" t="s">
        <v>126</v>
      </c>
      <c r="J56" s="4" t="s">
        <v>126</v>
      </c>
      <c r="K56" s="5" t="s">
        <v>126</v>
      </c>
      <c r="L56" s="5" t="s">
        <v>126</v>
      </c>
      <c r="M56" s="5" t="s">
        <v>126</v>
      </c>
      <c r="N56" s="5" t="s">
        <v>126</v>
      </c>
      <c r="O56" s="5" t="s">
        <v>126</v>
      </c>
      <c r="P56" s="5" t="s">
        <v>126</v>
      </c>
      <c r="Q56" s="5" t="s">
        <v>126</v>
      </c>
      <c r="R56" s="5" t="s">
        <v>126</v>
      </c>
      <c r="S56" s="5" t="s">
        <v>126</v>
      </c>
      <c r="T56" s="5" t="s">
        <v>126</v>
      </c>
      <c r="U56" s="5" t="s">
        <v>126</v>
      </c>
      <c r="V56" s="5" t="s">
        <v>126</v>
      </c>
      <c r="W56" s="5" t="s">
        <v>126</v>
      </c>
    </row>
    <row r="57" ht="27.0833320617676" customHeight="1">
      <c r="A57" s="6" t="s">
        <v>127</v>
      </c>
      <c r="B57" s="7" t="s">
        <v>128</v>
      </c>
      <c r="C57" s="10">
        <f>=IF(ISNUMBER(VLOOKUP("1.1",A2:W103,3,FALSE)),ROUND(VLOOKUP("1.1",A2:W103,3,FALSE),4),0) - IF(ISNUMBER(VLOOKUP("2.1",A2:W103,3,FALSE)),ROUND(VLOOKUP("2.1",A2:W103,3,FALSE),4),0)</f>
      </c>
      <c r="D57" s="10">
        <f>=IF(ISNUMBER(VLOOKUP("1.1",A2:W103,4,FALSE)),ROUND(VLOOKUP("1.1",A2:W103,4,FALSE),4),0) - IF(ISNUMBER(VLOOKUP("2.1",A2:W103,4,FALSE)),ROUND(VLOOKUP("2.1",A2:W103,4,FALSE),4),0)</f>
      </c>
      <c r="E57" s="10">
        <f>=IF(ISNUMBER(VLOOKUP("1.1",A2:W103,5,FALSE)),ROUND(VLOOKUP("1.1",A2:W103,5,FALSE),4),0) - IF(ISNUMBER(VLOOKUP("2.1",A2:W103,5,FALSE)),ROUND(VLOOKUP("2.1",A2:W103,5,FALSE),4),0)</f>
      </c>
      <c r="F57" s="10">
        <f>=IF(ISNUMBER(VLOOKUP("1.1",A2:W103,6,FALSE)),ROUND(VLOOKUP("1.1",A2:W103,6,FALSE),4),0) - IF(ISNUMBER(VLOOKUP("2.1",A2:W103,6,FALSE)),ROUND(VLOOKUP("2.1",A2:W103,6,FALSE),4),0)</f>
      </c>
      <c r="G57" s="10">
        <f>=IF(ISNUMBER(VLOOKUP("1.1",A2:W103,7,FALSE)),ROUND(VLOOKUP("1.1",A2:W103,7,FALSE),4),0) - IF(ISNUMBER(VLOOKUP("2.1",A2:W103,7,FALSE)),ROUND(VLOOKUP("2.1",A2:W103,7,FALSE),4),0)</f>
      </c>
      <c r="H57" s="10">
        <f>=IF(ISNUMBER(VLOOKUP("1.1",A2:W103,8,FALSE)),ROUND(VLOOKUP("1.1",A2:W103,8,FALSE),4),0) - IF(ISNUMBER(VLOOKUP("2.1",A2:W103,8,FALSE)),ROUND(VLOOKUP("2.1",A2:W103,8,FALSE),4),0)</f>
      </c>
      <c r="I57" s="10">
        <f>=IF(ISNUMBER(VLOOKUP("1.1",A2:W103,9,FALSE)),ROUND(VLOOKUP("1.1",A2:W103,9,FALSE),4),0) - IF(ISNUMBER(VLOOKUP("2.1",A2:W103,9,FALSE)),ROUND(VLOOKUP("2.1",A2:W103,9,FALSE),4),0)</f>
      </c>
      <c r="J57" s="10">
        <f>=IF(ISNUMBER(VLOOKUP("1.1",A2:W103,10,FALSE)),ROUND(VLOOKUP("1.1",A2:W103,10,FALSE),4),0) - IF(ISNUMBER(VLOOKUP("2.1",A2:W103,10,FALSE)),ROUND(VLOOKUP("2.1",A2:W103,10,FALSE),4),0)</f>
      </c>
      <c r="K57" s="11">
        <f>=IF(ISNUMBER(VLOOKUP("1.1",A2:W103,11,FALSE)),ROUND(VLOOKUP("1.1",A2:W103,11,FALSE),4),0) - IF(ISNUMBER(VLOOKUP("2.1",A2:W103,11,FALSE)),ROUND(VLOOKUP("2.1",A2:W103,11,FALSE),4),0)</f>
      </c>
      <c r="L57" s="11">
        <f>=IF(ISNUMBER(VLOOKUP("1.1",A2:W103,12,FALSE)),ROUND(VLOOKUP("1.1",A2:W103,12,FALSE),4),0) - IF(ISNUMBER(VLOOKUP("2.1",A2:W103,12,FALSE)),ROUND(VLOOKUP("2.1",A2:W103,12,FALSE),4),0)</f>
      </c>
      <c r="M57" s="11">
        <f>=IF(ISNUMBER(VLOOKUP("1.1",A2:W103,13,FALSE)),ROUND(VLOOKUP("1.1",A2:W103,13,FALSE),4),0) - IF(ISNUMBER(VLOOKUP("2.1",A2:W103,13,FALSE)),ROUND(VLOOKUP("2.1",A2:W103,13,FALSE),4),0)</f>
      </c>
      <c r="N57" s="11">
        <f>=IF(ISNUMBER(VLOOKUP("1.1",A2:W103,14,FALSE)),ROUND(VLOOKUP("1.1",A2:W103,14,FALSE),4),0) - IF(ISNUMBER(VLOOKUP("2.1",A2:W103,14,FALSE)),ROUND(VLOOKUP("2.1",A2:W103,14,FALSE),4),0)</f>
      </c>
      <c r="O57" s="11">
        <f>=IF(ISNUMBER(VLOOKUP("1.1",A2:W103,15,FALSE)),ROUND(VLOOKUP("1.1",A2:W103,15,FALSE),4),0) - IF(ISNUMBER(VLOOKUP("2.1",A2:W103,15,FALSE)),ROUND(VLOOKUP("2.1",A2:W103,15,FALSE),4),0)</f>
      </c>
      <c r="P57" s="11">
        <f>=IF(ISNUMBER(VLOOKUP("1.1",A2:W103,16,FALSE)),ROUND(VLOOKUP("1.1",A2:W103,16,FALSE),4),0) - IF(ISNUMBER(VLOOKUP("2.1",A2:W103,16,FALSE)),ROUND(VLOOKUP("2.1",A2:W103,16,FALSE),4),0)</f>
      </c>
      <c r="Q57" s="11">
        <f>=IF(ISNUMBER(VLOOKUP("1.1",A2:W103,17,FALSE)),ROUND(VLOOKUP("1.1",A2:W103,17,FALSE),4),0) - IF(ISNUMBER(VLOOKUP("2.1",A2:W103,17,FALSE)),ROUND(VLOOKUP("2.1",A2:W103,17,FALSE),4),0)</f>
      </c>
      <c r="R57" s="11">
        <f>=IF(ISNUMBER(VLOOKUP("1.1",A2:W103,18,FALSE)),ROUND(VLOOKUP("1.1",A2:W103,18,FALSE),4),0) - IF(ISNUMBER(VLOOKUP("2.1",A2:W103,18,FALSE)),ROUND(VLOOKUP("2.1",A2:W103,18,FALSE),4),0)</f>
      </c>
      <c r="S57" s="11">
        <f>=IF(ISNUMBER(VLOOKUP("1.1",A2:W103,19,FALSE)),ROUND(VLOOKUP("1.1",A2:W103,19,FALSE),4),0) - IF(ISNUMBER(VLOOKUP("2.1",A2:W103,19,FALSE)),ROUND(VLOOKUP("2.1",A2:W103,19,FALSE),4),0)</f>
      </c>
      <c r="T57" s="11">
        <f>=IF(ISNUMBER(VLOOKUP("1.1",A2:W103,20,FALSE)),ROUND(VLOOKUP("1.1",A2:W103,20,FALSE),4),0) - IF(ISNUMBER(VLOOKUP("2.1",A2:W103,20,FALSE)),ROUND(VLOOKUP("2.1",A2:W103,20,FALSE),4),0)</f>
      </c>
      <c r="U57" s="11">
        <f>=IF(ISNUMBER(VLOOKUP("1.1",A2:W103,21,FALSE)),ROUND(VLOOKUP("1.1",A2:W103,21,FALSE),4),0) - IF(ISNUMBER(VLOOKUP("2.1",A2:W103,21,FALSE)),ROUND(VLOOKUP("2.1",A2:W103,21,FALSE),4),0)</f>
      </c>
      <c r="V57" s="11">
        <f>=IF(ISNUMBER(VLOOKUP("1.1",A2:W103,22,FALSE)),ROUND(VLOOKUP("1.1",A2:W103,22,FALSE),4),0) - IF(ISNUMBER(VLOOKUP("2.1",A2:W103,22,FALSE)),ROUND(VLOOKUP("2.1",A2:W103,22,FALSE),4),0)</f>
      </c>
      <c r="W57" s="11">
        <f>=IF(ISNUMBER(VLOOKUP("1.1",A2:W103,23,FALSE)),ROUND(VLOOKUP("1.1",A2:W103,23,FALSE),4),0) - IF(ISNUMBER(VLOOKUP("2.1",A2:W103,23,FALSE)),ROUND(VLOOKUP("2.1",A2:W103,23,FALSE),4),0)</f>
      </c>
    </row>
    <row r="58" ht="27.0833320617676" customHeight="1">
      <c r="A58" s="6" t="s">
        <v>129</v>
      </c>
      <c r="B58" s="7" t="s">
        <v>130</v>
      </c>
      <c r="C58" s="10">
        <f>=IF(ISNUMBER(VLOOKUP("1.1",A2:W103,3,FALSE)),ROUND(VLOOKUP("1.1",A2:W103,3,FALSE),4),0) - IF(ISNUMBER(VLOOKUP("2.1",A2:W103,3,FALSE)),ROUND(VLOOKUP("2.1",A2:W103,3,FALSE),4),0) + IF(ISNUMBER(VLOOKUP("4.2",A2:W103,3,FALSE)),ROUND(VLOOKUP("4.2",A2:W103,3,FALSE),4),0) + IF(ISNUMBER(VLOOKUP("4.3",A2:W103,3,FALSE)),ROUND(VLOOKUP("4.3",A2:W103,3,FALSE),4),0)</f>
      </c>
      <c r="D58" s="10">
        <f>=IF(ISNUMBER(VLOOKUP("1.1",A2:W103,4,FALSE)),ROUND(VLOOKUP("1.1",A2:W103,4,FALSE),4),0) - IF(ISNUMBER(VLOOKUP("2.1",A2:W103,4,FALSE)),ROUND(VLOOKUP("2.1",A2:W103,4,FALSE),4),0) + IF(ISNUMBER(VLOOKUP("4.2",A2:W103,4,FALSE)),ROUND(VLOOKUP("4.2",A2:W103,4,FALSE),4),0) + IF(ISNUMBER(VLOOKUP("4.3",A2:W103,4,FALSE)),ROUND(VLOOKUP("4.3",A2:W103,4,FALSE),4),0)</f>
      </c>
      <c r="E58" s="10">
        <f>=IF(ISNUMBER(VLOOKUP("1.1",A2:W103,5,FALSE)),ROUND(VLOOKUP("1.1",A2:W103,5,FALSE),4),0) - IF(ISNUMBER(VLOOKUP("2.1",A2:W103,5,FALSE)),ROUND(VLOOKUP("2.1",A2:W103,5,FALSE),4),0) + IF(ISNUMBER(VLOOKUP("4.2",A2:W103,5,FALSE)),ROUND(VLOOKUP("4.2",A2:W103,5,FALSE),4),0) + IF(ISNUMBER(VLOOKUP("4.3",A2:W103,5,FALSE)),ROUND(VLOOKUP("4.3",A2:W103,5,FALSE),4),0)</f>
      </c>
      <c r="F58" s="10">
        <f>=IF(ISNUMBER(VLOOKUP("1.1",A2:W103,6,FALSE)),ROUND(VLOOKUP("1.1",A2:W103,6,FALSE),4),0) - IF(ISNUMBER(VLOOKUP("2.1",A2:W103,6,FALSE)),ROUND(VLOOKUP("2.1",A2:W103,6,FALSE),4),0) + IF(ISNUMBER(VLOOKUP("4.2",A2:W103,6,FALSE)),ROUND(VLOOKUP("4.2",A2:W103,6,FALSE),4),0) + IF(ISNUMBER(VLOOKUP("4.3",A2:W103,6,FALSE)),ROUND(VLOOKUP("4.3",A2:W103,6,FALSE),4),0)</f>
      </c>
      <c r="G58" s="10">
        <f>=IF(ISNUMBER(VLOOKUP("1.1",A2:W103,7,FALSE)),ROUND(VLOOKUP("1.1",A2:W103,7,FALSE),4),0) - IF(ISNUMBER(VLOOKUP("2.1",A2:W103,7,FALSE)),ROUND(VLOOKUP("2.1",A2:W103,7,FALSE),4),0) + IF(ISNUMBER(VLOOKUP("4.2",A2:W103,7,FALSE)),ROUND(VLOOKUP("4.2",A2:W103,7,FALSE),4),0) + IF(ISNUMBER(VLOOKUP("4.3",A2:W103,7,FALSE)),ROUND(VLOOKUP("4.3",A2:W103,7,FALSE),4),0)</f>
      </c>
      <c r="H58" s="10">
        <f>=IF(ISNUMBER(VLOOKUP("1.1",A2:W103,8,FALSE)),ROUND(VLOOKUP("1.1",A2:W103,8,FALSE),4),0) - IF(ISNUMBER(VLOOKUP("2.1",A2:W103,8,FALSE)),ROUND(VLOOKUP("2.1",A2:W103,8,FALSE),4),0) + IF(ISNUMBER(VLOOKUP("4.2",A2:W103,8,FALSE)),ROUND(VLOOKUP("4.2",A2:W103,8,FALSE),4),0) + IF(ISNUMBER(VLOOKUP("4.3",A2:W103,8,FALSE)),ROUND(VLOOKUP("4.3",A2:W103,8,FALSE),4),0) + IF(ISNUMBER(VLOOKUP("4.4",A2:W103,8,FALSE)),ROUND(VLOOKUP("4.4",A2:W103,8,FALSE),4),0)</f>
      </c>
      <c r="I58" s="10">
        <f>=IF(ISNUMBER(VLOOKUP("1.1",A2:W103,9,FALSE)),ROUND(VLOOKUP("1.1",A2:W103,9,FALSE),4),0) - IF(ISNUMBER(VLOOKUP("2.1",A2:W103,9,FALSE)),ROUND(VLOOKUP("2.1",A2:W103,9,FALSE),4),0) + IF(ISNUMBER(VLOOKUP("4.2",A2:W103,9,FALSE)),ROUND(VLOOKUP("4.2",A2:W103,9,FALSE),4),0) + IF(ISNUMBER(VLOOKUP("4.3",A2:W103,9,FALSE)),ROUND(VLOOKUP("4.3",A2:W103,9,FALSE),4),0) + IF(ISNUMBER(VLOOKUP("4.4",A2:W103,9,FALSE)),ROUND(VLOOKUP("4.4",A2:W103,9,FALSE),4),0)</f>
      </c>
      <c r="J58" s="10">
        <f>=IF(ISNUMBER(VLOOKUP("1.1",A2:W103,10,FALSE)),ROUND(VLOOKUP("1.1",A2:W103,10,FALSE),4),0) - IF(ISNUMBER(VLOOKUP("2.1",A2:W103,10,FALSE)),ROUND(VLOOKUP("2.1",A2:W103,10,FALSE),4),0) + IF(ISNUMBER(VLOOKUP("4.2",A2:W103,10,FALSE)),ROUND(VLOOKUP("4.2",A2:W103,10,FALSE),4),0) + IF(ISNUMBER(VLOOKUP("4.3",A2:W103,10,FALSE)),ROUND(VLOOKUP("4.3",A2:W103,10,FALSE),4),0) + IF(ISNUMBER(VLOOKUP("4.4",A2:W103,10,FALSE)),ROUND(VLOOKUP("4.4",A2:W103,10,FALSE),4),0)</f>
      </c>
      <c r="K58" s="11">
        <f>=IF(ISNUMBER(VLOOKUP("1.1",A2:W103,11,FALSE)),ROUND(VLOOKUP("1.1",A2:W103,11,FALSE),4),0) - IF(ISNUMBER(VLOOKUP("2.1",A2:W103,11,FALSE)),ROUND(VLOOKUP("2.1",A2:W103,11,FALSE),4),0) + IF(ISNUMBER(VLOOKUP("4.2",A2:W103,11,FALSE)),ROUND(VLOOKUP("4.2",A2:W103,11,FALSE),4),0) + IF(ISNUMBER(VLOOKUP("4.3",A2:W103,11,FALSE)),ROUND(VLOOKUP("4.3",A2:W103,11,FALSE),4),0) + IF(ISNUMBER(VLOOKUP("4.4",A2:W103,11,FALSE)),ROUND(VLOOKUP("4.4",A2:W103,11,FALSE),4),0)</f>
      </c>
      <c r="L58" s="11">
        <f>=IF(ISNUMBER(VLOOKUP("1.1",A2:W103,12,FALSE)),ROUND(VLOOKUP("1.1",A2:W103,12,FALSE),4),0) - IF(ISNUMBER(VLOOKUP("2.1",A2:W103,12,FALSE)),ROUND(VLOOKUP("2.1",A2:W103,12,FALSE),4),0) + IF(ISNUMBER(VLOOKUP("4.2",A2:W103,12,FALSE)),ROUND(VLOOKUP("4.2",A2:W103,12,FALSE),4),0) + IF(ISNUMBER(VLOOKUP("4.3",A2:W103,12,FALSE)),ROUND(VLOOKUP("4.3",A2:W103,12,FALSE),4),0) + IF(ISNUMBER(VLOOKUP("4.4",A2:W103,12,FALSE)),ROUND(VLOOKUP("4.4",A2:W103,12,FALSE),4),0)</f>
      </c>
      <c r="M58" s="11">
        <f>=IF(ISNUMBER(VLOOKUP("1.1",A2:W103,13,FALSE)),ROUND(VLOOKUP("1.1",A2:W103,13,FALSE),4),0) - IF(ISNUMBER(VLOOKUP("2.1",A2:W103,13,FALSE)),ROUND(VLOOKUP("2.1",A2:W103,13,FALSE),4),0) + IF(ISNUMBER(VLOOKUP("4.2",A2:W103,13,FALSE)),ROUND(VLOOKUP("4.2",A2:W103,13,FALSE),4),0) + IF(ISNUMBER(VLOOKUP("4.4",A2:W103,13,FALSE)),ROUND(VLOOKUP("4.4",A2:W103,13,FALSE),4),0)</f>
      </c>
      <c r="N58" s="11">
        <f>=IF(ISNUMBER(VLOOKUP("1.1",A2:W103,14,FALSE)),ROUND(VLOOKUP("1.1",A2:W103,14,FALSE),4),0) - IF(ISNUMBER(VLOOKUP("2.1",A2:W103,14,FALSE)),ROUND(VLOOKUP("2.1",A2:W103,14,FALSE),4),0) + IF(ISNUMBER(VLOOKUP("4.2",A2:W103,14,FALSE)),ROUND(VLOOKUP("4.2",A2:W103,14,FALSE),4),0) + IF(ISNUMBER(VLOOKUP("4.4",A2:W103,14,FALSE)),ROUND(VLOOKUP("4.4",A2:W103,14,FALSE),4),0)</f>
      </c>
      <c r="O58" s="11">
        <f>=IF(ISNUMBER(VLOOKUP("1.1",A2:W103,15,FALSE)),ROUND(VLOOKUP("1.1",A2:W103,15,FALSE),4),0) - IF(ISNUMBER(VLOOKUP("2.1",A2:W103,15,FALSE)),ROUND(VLOOKUP("2.1",A2:W103,15,FALSE),4),0) + IF(ISNUMBER(VLOOKUP("4.2",A2:W103,15,FALSE)),ROUND(VLOOKUP("4.2",A2:W103,15,FALSE),4),0) + IF(ISNUMBER(VLOOKUP("4.4",A2:W103,15,FALSE)),ROUND(VLOOKUP("4.4",A2:W103,15,FALSE),4),0)</f>
      </c>
      <c r="P58" s="11">
        <f>=IF(ISNUMBER(VLOOKUP("1.1",A2:W103,16,FALSE)),ROUND(VLOOKUP("1.1",A2:W103,16,FALSE),4),0) - IF(ISNUMBER(VLOOKUP("2.1",A2:W103,16,FALSE)),ROUND(VLOOKUP("2.1",A2:W103,16,FALSE),4),0) + IF(ISNUMBER(VLOOKUP("4.2",A2:W103,16,FALSE)),ROUND(VLOOKUP("4.2",A2:W103,16,FALSE),4),0) + IF(ISNUMBER(VLOOKUP("4.4",A2:W103,16,FALSE)),ROUND(VLOOKUP("4.4",A2:W103,16,FALSE),4),0)</f>
      </c>
      <c r="Q58" s="11">
        <f>=IF(ISNUMBER(VLOOKUP("1.1",A2:W103,17,FALSE)),ROUND(VLOOKUP("1.1",A2:W103,17,FALSE),4),0) - IF(ISNUMBER(VLOOKUP("2.1",A2:W103,17,FALSE)),ROUND(VLOOKUP("2.1",A2:W103,17,FALSE),4),0) + IF(ISNUMBER(VLOOKUP("4.2",A2:W103,17,FALSE)),ROUND(VLOOKUP("4.2",A2:W103,17,FALSE),4),0) + IF(ISNUMBER(VLOOKUP("4.4",A2:W103,17,FALSE)),ROUND(VLOOKUP("4.4",A2:W103,17,FALSE),4),0)</f>
      </c>
      <c r="R58" s="11">
        <f>=IF(ISNUMBER(VLOOKUP("1.1",A2:W103,18,FALSE)),ROUND(VLOOKUP("1.1",A2:W103,18,FALSE),4),0) - IF(ISNUMBER(VLOOKUP("2.1",A2:W103,18,FALSE)),ROUND(VLOOKUP("2.1",A2:W103,18,FALSE),4),0) + IF(ISNUMBER(VLOOKUP("4.2",A2:W103,18,FALSE)),ROUND(VLOOKUP("4.2",A2:W103,18,FALSE),4),0) + IF(ISNUMBER(VLOOKUP("4.4",A2:W103,18,FALSE)),ROUND(VLOOKUP("4.4",A2:W103,18,FALSE),4),0)</f>
      </c>
      <c r="S58" s="11">
        <f>=IF(ISNUMBER(VLOOKUP("1.1",A2:W103,19,FALSE)),ROUND(VLOOKUP("1.1",A2:W103,19,FALSE),4),0) - IF(ISNUMBER(VLOOKUP("2.1",A2:W103,19,FALSE)),ROUND(VLOOKUP("2.1",A2:W103,19,FALSE),4),0) + IF(ISNUMBER(VLOOKUP("4.2",A2:W103,19,FALSE)),ROUND(VLOOKUP("4.2",A2:W103,19,FALSE),4),0) + IF(ISNUMBER(VLOOKUP("4.4",A2:W103,19,FALSE)),ROUND(VLOOKUP("4.4",A2:W103,19,FALSE),4),0)</f>
      </c>
      <c r="T58" s="11">
        <f>=IF(ISNUMBER(VLOOKUP("1.1",A2:W103,20,FALSE)),ROUND(VLOOKUP("1.1",A2:W103,20,FALSE),4),0) - IF(ISNUMBER(VLOOKUP("2.1",A2:W103,20,FALSE)),ROUND(VLOOKUP("2.1",A2:W103,20,FALSE),4),0) + IF(ISNUMBER(VLOOKUP("4.2",A2:W103,20,FALSE)),ROUND(VLOOKUP("4.2",A2:W103,20,FALSE),4),0) + IF(ISNUMBER(VLOOKUP("4.4",A2:W103,20,FALSE)),ROUND(VLOOKUP("4.4",A2:W103,20,FALSE),4),0)</f>
      </c>
      <c r="U58" s="11">
        <f>=IF(ISNUMBER(VLOOKUP("1.1",A2:W103,21,FALSE)),ROUND(VLOOKUP("1.1",A2:W103,21,FALSE),4),0) - IF(ISNUMBER(VLOOKUP("2.1",A2:W103,21,FALSE)),ROUND(VLOOKUP("2.1",A2:W103,21,FALSE),4),0) + IF(ISNUMBER(VLOOKUP("4.2",A2:W103,21,FALSE)),ROUND(VLOOKUP("4.2",A2:W103,21,FALSE),4),0) + IF(ISNUMBER(VLOOKUP("4.4",A2:W103,21,FALSE)),ROUND(VLOOKUP("4.4",A2:W103,21,FALSE),4),0)</f>
      </c>
      <c r="V58" s="11">
        <f>=IF(ISNUMBER(VLOOKUP("1.1",A2:W103,22,FALSE)),ROUND(VLOOKUP("1.1",A2:W103,22,FALSE),4),0) - IF(ISNUMBER(VLOOKUP("2.1",A2:W103,22,FALSE)),ROUND(VLOOKUP("2.1",A2:W103,22,FALSE),4),0) + IF(ISNUMBER(VLOOKUP("4.2",A2:W103,22,FALSE)),ROUND(VLOOKUP("4.2",A2:W103,22,FALSE),4),0) + IF(ISNUMBER(VLOOKUP("4.4",A2:W103,22,FALSE)),ROUND(VLOOKUP("4.4",A2:W103,22,FALSE),4),0)</f>
      </c>
      <c r="W58" s="11">
        <f>=IF(ISNUMBER(VLOOKUP("1.1",A2:W103,23,FALSE)),ROUND(VLOOKUP("1.1",A2:W103,23,FALSE),4),0) - IF(ISNUMBER(VLOOKUP("2.1",A2:W103,23,FALSE)),ROUND(VLOOKUP("2.1",A2:W103,23,FALSE),4),0) + IF(ISNUMBER(VLOOKUP("4.2",A2:W103,23,FALSE)),ROUND(VLOOKUP("4.2",A2:W103,23,FALSE),4),0) + IF(ISNUMBER(VLOOKUP("4.4",A2:W103,23,FALSE)),ROUND(VLOOKUP("4.4",A2:W103,23,FALSE),4),0)</f>
      </c>
    </row>
    <row r="59" ht="0" hidden="1">
      <c r="A59" s="6" t="s">
        <v>131</v>
      </c>
      <c r="B59" s="7" t="s">
        <v>132</v>
      </c>
      <c r="C59" s="10">
        <f>=IF(ISNUMBER(VLOOKUP("7.2",A2:W103,3,FALSE)),ROUND(VLOOKUP("7.2",A2:W103,3,FALSE),4),0) + IF(ISNUMBER(VLOOKUP("10.11.x",A2:W103,3,FALSE)),ROUND(VLOOKUP("10.11.x",A2:W103,3,FALSE),4),0)</f>
      </c>
      <c r="D59" s="10">
        <f>=IF(ISNUMBER(VLOOKUP("7.2",A2:W103,4,FALSE)),ROUND(VLOOKUP("7.2",A2:W103,4,FALSE),4),0) + IF(ISNUMBER(VLOOKUP("10.11.x",A2:W103,4,FALSE)),ROUND(VLOOKUP("10.11.x",A2:W103,4,FALSE),4),0)</f>
      </c>
      <c r="E59" s="10">
        <f>=IF(ISNUMBER(VLOOKUP("7.2",A2:W103,5,FALSE)),ROUND(VLOOKUP("7.2",A2:W103,5,FALSE),4),0) + IF(ISNUMBER(VLOOKUP("10.11.x",A2:W103,5,FALSE)),ROUND(VLOOKUP("10.11.x",A2:W103,5,FALSE),4),0)</f>
      </c>
      <c r="F59" s="10">
        <f>=IF(ISNUMBER(VLOOKUP("7.2",A2:W103,6,FALSE)),ROUND(VLOOKUP("7.2",A2:W103,6,FALSE),4),0) + IF(ISNUMBER(VLOOKUP("10.11.x",A2:W103,6,FALSE)),ROUND(VLOOKUP("10.11.x",A2:W103,6,FALSE),4),0)</f>
      </c>
      <c r="G59" s="10">
        <f>=IF(ISNUMBER(VLOOKUP("7.2",A2:W103,7,FALSE)),ROUND(VLOOKUP("7.2",A2:W103,7,FALSE),4),0) + IF(ISNUMBER(VLOOKUP("10.11.x",A2:W103,7,FALSE)),ROUND(VLOOKUP("10.11.x",A2:W103,7,FALSE),4),0)</f>
      </c>
      <c r="H59" s="10">
        <f>=IF(ISNUMBER(VLOOKUP("7.2",A2:W103,8,FALSE)),ROUND(VLOOKUP("7.2",A2:W103,8,FALSE),4),0) + IF(ISNUMBER(VLOOKUP("10.11.x",A2:W103,8,FALSE)),ROUND(VLOOKUP("10.11.x",A2:W103,8,FALSE),4),0)</f>
      </c>
      <c r="I59" s="10">
        <f>=IF(ISNUMBER(VLOOKUP("7.2",A2:W103,9,FALSE)),ROUND(VLOOKUP("7.2",A2:W103,9,FALSE),4),0) + IF(ISNUMBER(VLOOKUP("10.11.x",A2:W103,9,FALSE)),ROUND(VLOOKUP("10.11.x",A2:W103,9,FALSE),4),0)</f>
      </c>
      <c r="J59" s="10">
        <f>=IF(ISNUMBER(VLOOKUP("7.2",A2:W103,10,FALSE)),ROUND(VLOOKUP("7.2",A2:W103,10,FALSE),4),0) + IF(ISNUMBER(VLOOKUP("10.11.x",A2:W103,10,FALSE)),ROUND(VLOOKUP("10.11.x",A2:W103,10,FALSE),4),0)</f>
      </c>
      <c r="K59" s="11">
        <f>=IF(ISNUMBER(VLOOKUP("7.2",A2:W103,11,FALSE)),ROUND(VLOOKUP("7.2",A2:W103,11,FALSE),4),0) + IF(ISNUMBER(VLOOKUP("10.11.x",A2:W103,11,FALSE)),ROUND(VLOOKUP("10.11.x",A2:W103,11,FALSE),4),0)</f>
      </c>
      <c r="L59" s="11">
        <f>=IF(ISNUMBER(VLOOKUP("7.2",A2:W103,12,FALSE)),ROUND(VLOOKUP("7.2",A2:W103,12,FALSE),4),0) + IF(ISNUMBER(VLOOKUP("10.11.x",A2:W103,12,FALSE)),ROUND(VLOOKUP("10.11.x",A2:W103,12,FALSE),4),0)</f>
      </c>
      <c r="M59" s="11">
        <f>=IF(ISNUMBER(VLOOKUP("7.2",A2:W103,13,FALSE)),ROUND(VLOOKUP("7.2",A2:W103,13,FALSE),4),0) + IF(ISNUMBER(VLOOKUP("10.11.x",A2:W103,13,FALSE)),ROUND(VLOOKUP("10.11.x",A2:W103,13,FALSE),4),0)</f>
      </c>
      <c r="N59" s="11">
        <f>=IF(ISNUMBER(VLOOKUP("7.2",A2:W103,14,FALSE)),ROUND(VLOOKUP("7.2",A2:W103,14,FALSE),4),0) + IF(ISNUMBER(VLOOKUP("10.11.x",A2:W103,14,FALSE)),ROUND(VLOOKUP("10.11.x",A2:W103,14,FALSE),4),0)</f>
      </c>
      <c r="O59" s="11">
        <f>=IF(ISNUMBER(VLOOKUP("7.2",A2:W103,15,FALSE)),ROUND(VLOOKUP("7.2",A2:W103,15,FALSE),4),0) + IF(ISNUMBER(VLOOKUP("10.11.x",A2:W103,15,FALSE)),ROUND(VLOOKUP("10.11.x",A2:W103,15,FALSE),4),0)</f>
      </c>
      <c r="P59" s="11">
        <f>=IF(ISNUMBER(VLOOKUP("7.2",A2:W103,16,FALSE)),ROUND(VLOOKUP("7.2",A2:W103,16,FALSE),4),0) + IF(ISNUMBER(VLOOKUP("10.11.x",A2:W103,16,FALSE)),ROUND(VLOOKUP("10.11.x",A2:W103,16,FALSE),4),0)</f>
      </c>
      <c r="Q59" s="11">
        <f>=IF(ISNUMBER(VLOOKUP("7.2",A2:W103,17,FALSE)),ROUND(VLOOKUP("7.2",A2:W103,17,FALSE),4),0) + IF(ISNUMBER(VLOOKUP("10.11.x",A2:W103,17,FALSE)),ROUND(VLOOKUP("10.11.x",A2:W103,17,FALSE),4),0)</f>
      </c>
      <c r="R59" s="11">
        <f>=IF(ISNUMBER(VLOOKUP("7.2",A2:W103,18,FALSE)),ROUND(VLOOKUP("7.2",A2:W103,18,FALSE),4),0) + IF(ISNUMBER(VLOOKUP("10.11.x",A2:W103,18,FALSE)),ROUND(VLOOKUP("10.11.x",A2:W103,18,FALSE),4),0)</f>
      </c>
      <c r="S59" s="11">
        <f>=IF(ISNUMBER(VLOOKUP("7.2",A2:W103,19,FALSE)),ROUND(VLOOKUP("7.2",A2:W103,19,FALSE),4),0) + IF(ISNUMBER(VLOOKUP("10.11.x",A2:W103,19,FALSE)),ROUND(VLOOKUP("10.11.x",A2:W103,19,FALSE),4),0)</f>
      </c>
      <c r="T59" s="11">
        <f>=IF(ISNUMBER(VLOOKUP("7.2",A2:W103,20,FALSE)),ROUND(VLOOKUP("7.2",A2:W103,20,FALSE),4),0) + IF(ISNUMBER(VLOOKUP("10.11.x",A2:W103,20,FALSE)),ROUND(VLOOKUP("10.11.x",A2:W103,20,FALSE),4),0)</f>
      </c>
      <c r="U59" s="11">
        <f>=IF(ISNUMBER(VLOOKUP("7.2",A2:W103,21,FALSE)),ROUND(VLOOKUP("7.2",A2:W103,21,FALSE),4),0) + IF(ISNUMBER(VLOOKUP("10.11.x",A2:W103,21,FALSE)),ROUND(VLOOKUP("10.11.x",A2:W103,21,FALSE),4),0)</f>
      </c>
      <c r="V59" s="11">
        <f>=IF(ISNUMBER(VLOOKUP("7.2",A2:W103,22,FALSE)),ROUND(VLOOKUP("7.2",A2:W103,22,FALSE),4),0) + IF(ISNUMBER(VLOOKUP("10.11.x",A2:W103,22,FALSE)),ROUND(VLOOKUP("10.11.x",A2:W103,22,FALSE),4),0)</f>
      </c>
      <c r="W59" s="11">
        <f>=IF(ISNUMBER(VLOOKUP("7.2",A2:W103,23,FALSE)),ROUND(VLOOKUP("7.2",A2:W103,23,FALSE),4),0) + IF(ISNUMBER(VLOOKUP("10.11.x",A2:W103,23,FALSE)),ROUND(VLOOKUP("10.11.x",A2:W103,23,FALSE),4),0)</f>
      </c>
    </row>
    <row r="60" ht="14.2083320617676" customHeight="1">
      <c r="A60" s="2" t="s">
        <v>133</v>
      </c>
      <c r="B60" s="3" t="s">
        <v>134</v>
      </c>
      <c r="C60" s="4" t="s">
        <v>126</v>
      </c>
      <c r="D60" s="4" t="s">
        <v>126</v>
      </c>
      <c r="E60" s="4" t="s">
        <v>126</v>
      </c>
      <c r="F60" s="4" t="s">
        <v>126</v>
      </c>
      <c r="G60" s="4" t="s">
        <v>126</v>
      </c>
      <c r="H60" s="4" t="s">
        <v>126</v>
      </c>
      <c r="I60" s="4" t="s">
        <v>126</v>
      </c>
      <c r="J60" s="4" t="s">
        <v>126</v>
      </c>
      <c r="K60" s="5" t="s">
        <v>126</v>
      </c>
      <c r="L60" s="5" t="s">
        <v>126</v>
      </c>
      <c r="M60" s="5" t="s">
        <v>126</v>
      </c>
      <c r="N60" s="5" t="s">
        <v>126</v>
      </c>
      <c r="O60" s="5" t="s">
        <v>126</v>
      </c>
      <c r="P60" s="5" t="s">
        <v>126</v>
      </c>
      <c r="Q60" s="5" t="s">
        <v>126</v>
      </c>
      <c r="R60" s="5" t="s">
        <v>126</v>
      </c>
      <c r="S60" s="5" t="s">
        <v>126</v>
      </c>
      <c r="T60" s="5" t="s">
        <v>126</v>
      </c>
      <c r="U60" s="5" t="s">
        <v>126</v>
      </c>
      <c r="V60" s="5" t="s">
        <v>126</v>
      </c>
      <c r="W60" s="5" t="s">
        <v>126</v>
      </c>
    </row>
    <row r="61" ht="65.7083282470703" customHeight="1">
      <c r="A61" s="14" t="s">
        <v>135</v>
      </c>
      <c r="B61" s="15" t="s">
        <v>136</v>
      </c>
      <c r="C61" s="16">
        <f>=(IF(ISNUMBER(VLOOKUP("5.1",A2:W103,3,FALSE)),ROUND(VLOOKUP("5.1",A2:W103,3,FALSE),4),0) - IF(ISNUMBER(VLOOKUP("5.1.1",A2:W103,3,FALSE)),ROUND(VLOOKUP("5.1.1",A2:W103,3,FALSE),4),0) + IF(ISNUMBER(VLOOKUP("10.7.2.1",A2:W103,3,FALSE)),ROUND(VLOOKUP("10.7.2.1",A2:W103,3,FALSE),4),0) - IF(ISNUMBER(VLOOKUP("10.9",A2:W103,3,FALSE)),ROUND(VLOOKUP("10.9",A2:W103,3,FALSE),4),0) + IF(ISNUMBER(VLOOKUP("2.1.2",A2:W103,3,FALSE)),ROUND(VLOOKUP("2.1.2",A2:W103,3,FALSE),4),0) - IF(ISNUMBER(VLOOKUP("2.1.2.1",A2:W103,3,FALSE)),ROUND(VLOOKUP("2.1.2.1",A2:W103,3,FALSE),4),0) + IF(ISNUMBER(VLOOKUP("2.1.3",A2:W103,3,FALSE)),ROUND(VLOOKUP("2.1.3",A2:W103,3,FALSE),4),0) - (IF(ISNUMBER(VLOOKUP("2.1.3.1",A2:W103,3,FALSE)),ROUND(VLOOKUP("2.1.3.1",A2:W103,3,FALSE),4),0) + IF(ISNUMBER(VLOOKUP("2.1.3.2",A2:W103,3,FALSE)),ROUND(VLOOKUP("2.1.3.2",A2:W103,3,FALSE),4),0) + IF(ISNA(VLOOKUP("2.1.3.3",A2:W103,3,FALSE)),0,ROUND(VLOOKUP("2.1.3.3",A2:W103,3,FALSE),4))) + IF(ISNUMBER(VLOOKUP("10.4",A2:W103,3,FALSE)),ROUND(VLOOKUP("10.4",A2:W103,3,FALSE),4),0)) / (IF(ISNUMBER(VLOOKUP("1.1",A2:W103,3,FALSE)),ROUND(VLOOKUP("1.1",A2:W103,3,FALSE),4),0) - IF(ISNUMBER(VLOOKUP("1.1.4",A2:W103,3,FALSE)),ROUND(VLOOKUP("1.1.4",A2:W103,3,FALSE),4),0) - IF(ISNA(VLOOKUP("11.1.1",A2:W103,3,FALSE)),0,ROUND(VLOOKUP("11.1.1",A2:W103,3,FALSE),4)))</f>
      </c>
      <c r="D61" s="16">
        <f>=(IF(ISNUMBER(VLOOKUP("5.1",A2:W103,4,FALSE)),ROUND(VLOOKUP("5.1",A2:W103,4,FALSE),4),0) - IF(ISNUMBER(VLOOKUP("5.1.1",A2:W103,4,FALSE)),ROUND(VLOOKUP("5.1.1",A2:W103,4,FALSE),4),0) + IF(ISNUMBER(VLOOKUP("10.7.2.1",A2:W103,4,FALSE)),ROUND(VLOOKUP("10.7.2.1",A2:W103,4,FALSE),4),0) - IF(ISNUMBER(VLOOKUP("10.9",A2:W103,4,FALSE)),ROUND(VLOOKUP("10.9",A2:W103,4,FALSE),4),0) + IF(ISNUMBER(VLOOKUP("2.1.2",A2:W103,4,FALSE)),ROUND(VLOOKUP("2.1.2",A2:W103,4,FALSE),4),0) - IF(ISNUMBER(VLOOKUP("2.1.2.1",A2:W103,4,FALSE)),ROUND(VLOOKUP("2.1.2.1",A2:W103,4,FALSE),4),0) + IF(ISNUMBER(VLOOKUP("2.1.3",A2:W103,4,FALSE)),ROUND(VLOOKUP("2.1.3",A2:W103,4,FALSE),4),0) - (IF(ISNUMBER(VLOOKUP("2.1.3.1",A2:W103,4,FALSE)),ROUND(VLOOKUP("2.1.3.1",A2:W103,4,FALSE),4),0) + IF(ISNUMBER(VLOOKUP("2.1.3.2",A2:W103,4,FALSE)),ROUND(VLOOKUP("2.1.3.2",A2:W103,4,FALSE),4),0) + IF(ISNA(VLOOKUP("2.1.3.3",A2:W103,4,FALSE)),0,ROUND(VLOOKUP("2.1.3.3",A2:W103,4,FALSE),4))) + IF(ISNUMBER(VLOOKUP("10.4",A2:W103,4,FALSE)),ROUND(VLOOKUP("10.4",A2:W103,4,FALSE),4),0)) / (IF(ISNUMBER(VLOOKUP("1.1",A2:W103,4,FALSE)),ROUND(VLOOKUP("1.1",A2:W103,4,FALSE),4),0) - IF(ISNUMBER(VLOOKUP("1.1.4",A2:W103,4,FALSE)),ROUND(VLOOKUP("1.1.4",A2:W103,4,FALSE),4),0) - IF(ISNA(VLOOKUP("11.1.1",A2:W103,4,FALSE)),0,ROUND(VLOOKUP("11.1.1",A2:W103,4,FALSE),4)))</f>
      </c>
      <c r="E61" s="16">
        <f>=(IF(ISNUMBER(VLOOKUP("5.1",A2:W103,5,FALSE)),ROUND(VLOOKUP("5.1",A2:W103,5,FALSE),4),0) - IF(ISNUMBER(VLOOKUP("5.1.1",A2:W103,5,FALSE)),ROUND(VLOOKUP("5.1.1",A2:W103,5,FALSE),4),0) + IF(ISNUMBER(VLOOKUP("10.7.2.1",A2:W103,5,FALSE)),ROUND(VLOOKUP("10.7.2.1",A2:W103,5,FALSE),4),0) - IF(ISNUMBER(VLOOKUP("10.9",A2:W103,5,FALSE)),ROUND(VLOOKUP("10.9",A2:W103,5,FALSE),4),0) + IF(ISNUMBER(VLOOKUP("2.1.2",A2:W103,5,FALSE)),ROUND(VLOOKUP("2.1.2",A2:W103,5,FALSE),4),0) - IF(ISNUMBER(VLOOKUP("2.1.2.1",A2:W103,5,FALSE)),ROUND(VLOOKUP("2.1.2.1",A2:W103,5,FALSE),4),0) + IF(ISNUMBER(VLOOKUP("2.1.3",A2:W103,5,FALSE)),ROUND(VLOOKUP("2.1.3",A2:W103,5,FALSE),4),0) - (IF(ISNUMBER(VLOOKUP("2.1.3.1",A2:W103,5,FALSE)),ROUND(VLOOKUP("2.1.3.1",A2:W103,5,FALSE),4),0) + IF(ISNUMBER(VLOOKUP("2.1.3.2",A2:W103,5,FALSE)),ROUND(VLOOKUP("2.1.3.2",A2:W103,5,FALSE),4),0) + IF(ISNA(VLOOKUP("2.1.3.3",A2:W103,5,FALSE)),0,ROUND(VLOOKUP("2.1.3.3",A2:W103,5,FALSE),4))) + IF(ISNUMBER(VLOOKUP("10.4",A2:W103,5,FALSE)),ROUND(VLOOKUP("10.4",A2:W103,5,FALSE),4),0)) / (IF(ISNUMBER(VLOOKUP("1.1",A2:W103,5,FALSE)),ROUND(VLOOKUP("1.1",A2:W103,5,FALSE),4),0) - IF(ISNUMBER(VLOOKUP("1.1.4",A2:W103,5,FALSE)),ROUND(VLOOKUP("1.1.4",A2:W103,5,FALSE),4),0) - IF(ISNA(VLOOKUP("11.1.1",A2:W103,5,FALSE)),0,ROUND(VLOOKUP("11.1.1",A2:W103,5,FALSE),4)))</f>
      </c>
      <c r="F61" s="16">
        <f>=(IF(ISNUMBER(VLOOKUP("5.1",A2:W103,6,FALSE)),ROUND(VLOOKUP("5.1",A2:W103,6,FALSE),4),0) - IF(ISNUMBER(VLOOKUP("5.1.1",A2:W103,6,FALSE)),ROUND(VLOOKUP("5.1.1",A2:W103,6,FALSE),4),0) + IF(ISNUMBER(VLOOKUP("10.7.2.1",A2:W103,6,FALSE)),ROUND(VLOOKUP("10.7.2.1",A2:W103,6,FALSE),4),0) - IF(ISNUMBER(VLOOKUP("10.9",A2:W103,6,FALSE)),ROUND(VLOOKUP("10.9",A2:W103,6,FALSE),4),0) + IF(ISNUMBER(VLOOKUP("2.1.2",A2:W103,6,FALSE)),ROUND(VLOOKUP("2.1.2",A2:W103,6,FALSE),4),0) - IF(ISNUMBER(VLOOKUP("2.1.2.1",A2:W103,6,FALSE)),ROUND(VLOOKUP("2.1.2.1",A2:W103,6,FALSE),4),0) + IF(ISNUMBER(VLOOKUP("2.1.3",A2:W103,6,FALSE)),ROUND(VLOOKUP("2.1.3",A2:W103,6,FALSE),4),0) - (IF(ISNUMBER(VLOOKUP("2.1.3.1",A2:W103,6,FALSE)),ROUND(VLOOKUP("2.1.3.1",A2:W103,6,FALSE),4),0) + IF(ISNUMBER(VLOOKUP("2.1.3.2",A2:W103,6,FALSE)),ROUND(VLOOKUP("2.1.3.2",A2:W103,6,FALSE),4),0) + IF(ISNA(VLOOKUP("2.1.3.3",A2:W103,6,FALSE)),0,ROUND(VLOOKUP("2.1.3.3",A2:W103,6,FALSE),4))) + IF(ISNUMBER(VLOOKUP("10.4",A2:W103,6,FALSE)),ROUND(VLOOKUP("10.4",A2:W103,6,FALSE),4),0)) / (IF(ISNUMBER(VLOOKUP("1.1",A2:W103,6,FALSE)),ROUND(VLOOKUP("1.1",A2:W103,6,FALSE),4),0) - IF(ISNUMBER(VLOOKUP("1.1.4",A2:W103,6,FALSE)),ROUND(VLOOKUP("1.1.4",A2:W103,6,FALSE),4),0) - IF(ISNA(VLOOKUP("11.1.1",A2:W103,6,FALSE)),0,ROUND(VLOOKUP("11.1.1",A2:W103,6,FALSE),4)))</f>
      </c>
      <c r="G61" s="16">
        <f>=(IF(ISNUMBER(VLOOKUP("5.1",A2:W103,7,FALSE)),ROUND(VLOOKUP("5.1",A2:W103,7,FALSE),4),0) - IF(ISNUMBER(VLOOKUP("5.1.1",A2:W103,7,FALSE)),ROUND(VLOOKUP("5.1.1",A2:W103,7,FALSE),4),0) + IF(ISNUMBER(VLOOKUP("10.7.2.1",A2:W103,7,FALSE)),ROUND(VLOOKUP("10.7.2.1",A2:W103,7,FALSE),4),0) - IF(ISNUMBER(VLOOKUP("10.9",A2:W103,7,FALSE)),ROUND(VLOOKUP("10.9",A2:W103,7,FALSE),4),0) + IF(ISNUMBER(VLOOKUP("2.1.2",A2:W103,7,FALSE)),ROUND(VLOOKUP("2.1.2",A2:W103,7,FALSE),4),0) - IF(ISNUMBER(VLOOKUP("2.1.2.1",A2:W103,7,FALSE)),ROUND(VLOOKUP("2.1.2.1",A2:W103,7,FALSE),4),0) + IF(ISNUMBER(VLOOKUP("2.1.3",A2:W103,7,FALSE)),ROUND(VLOOKUP("2.1.3",A2:W103,7,FALSE),4),0) - (IF(ISNUMBER(VLOOKUP("2.1.3.1",A2:W103,7,FALSE)),ROUND(VLOOKUP("2.1.3.1",A2:W103,7,FALSE),4),0) + IF(ISNUMBER(VLOOKUP("2.1.3.2",A2:W103,7,FALSE)),ROUND(VLOOKUP("2.1.3.2",A2:W103,7,FALSE),4),0) + IF(ISNA(VLOOKUP("2.1.3.3",A2:W103,7,FALSE)),0,ROUND(VLOOKUP("2.1.3.3",A2:W103,7,FALSE),4))) + IF(ISNUMBER(VLOOKUP("10.4",A2:W103,7,FALSE)),ROUND(VLOOKUP("10.4",A2:W103,7,FALSE),4),0)) / (IF(ISNUMBER(VLOOKUP("1.1",A2:W103,7,FALSE)),ROUND(VLOOKUP("1.1",A2:W103,7,FALSE),4),0) - IF(ISNUMBER(VLOOKUP("1.1.4",A2:W103,7,FALSE)),ROUND(VLOOKUP("1.1.4",A2:W103,7,FALSE),4),0) - IF(ISNA(VLOOKUP("11.1.1",A2:W103,7,FALSE)),0,ROUND(VLOOKUP("11.1.1",A2:W103,7,FALSE),4)))</f>
      </c>
      <c r="H61" s="16">
        <f>=(IF(ISNUMBER(VLOOKUP("5.1",A2:W103,8,FALSE)),ROUND(VLOOKUP("5.1",A2:W103,8,FALSE),4),0) - IF(ISNUMBER(VLOOKUP("5.1.1",A2:W103,8,FALSE)),ROUND(VLOOKUP("5.1.1",A2:W103,8,FALSE),4),0) + IF(ISNUMBER(VLOOKUP("10.7.2.1",A2:W103,8,FALSE)),ROUND(VLOOKUP("10.7.2.1",A2:W103,8,FALSE),4),0) - IF(ISNUMBER(VLOOKUP("10.9",A2:W103,8,FALSE)),ROUND(VLOOKUP("10.9",A2:W103,8,FALSE),4),0) + IF(ISNUMBER(VLOOKUP("2.1.2",A2:W103,8,FALSE)),ROUND(VLOOKUP("2.1.2",A2:W103,8,FALSE),4),0) - IF(ISNUMBER(VLOOKUP("2.1.2.1",A2:W103,8,FALSE)),ROUND(VLOOKUP("2.1.2.1",A2:W103,8,FALSE),4),0) + IF(ISNUMBER(VLOOKUP("2.1.3",A2:W103,8,FALSE)),ROUND(VLOOKUP("2.1.3",A2:W103,8,FALSE),4),0) - (IF(ISNUMBER(VLOOKUP("2.1.3.1",A2:W103,8,FALSE)),ROUND(VLOOKUP("2.1.3.1",A2:W103,8,FALSE),4),0) + IF(ISNUMBER(VLOOKUP("2.1.3.2",A2:W103,8,FALSE)),ROUND(VLOOKUP("2.1.3.2",A2:W103,8,FALSE),4),0) + IF(ISNA(VLOOKUP("2.1.3.3",A2:W103,8,FALSE)),0,ROUND(VLOOKUP("2.1.3.3",A2:W103,8,FALSE),4))) + IF(ISNUMBER(VLOOKUP("10.4",A2:W103,8,FALSE)),ROUND(VLOOKUP("10.4",A2:W103,8,FALSE),4),0)) / (IF(ISNUMBER(VLOOKUP("1.1",A2:W103,8,FALSE)),ROUND(VLOOKUP("1.1",A2:W103,8,FALSE),4),0) - IF(ISNUMBER(VLOOKUP("1.1.4",A2:W103,8,FALSE)),ROUND(VLOOKUP("1.1.4",A2:W103,8,FALSE),4),0) - IF(ISNA(VLOOKUP("11.1.1",A2:W103,8,FALSE)),0,ROUND(VLOOKUP("11.1.1",A2:W103,8,FALSE),4)))</f>
      </c>
      <c r="I61" s="16">
        <f>=(IF(ISNUMBER(VLOOKUP("5.1",A2:W103,9,FALSE)),ROUND(VLOOKUP("5.1",A2:W103,9,FALSE),4),0) - IF(ISNUMBER(VLOOKUP("5.1.1",A2:W103,9,FALSE)),ROUND(VLOOKUP("5.1.1",A2:W103,9,FALSE),4),0) + IF(ISNUMBER(VLOOKUP("10.7.2.1",A2:W103,9,FALSE)),ROUND(VLOOKUP("10.7.2.1",A2:W103,9,FALSE),4),0) - IF(ISNUMBER(VLOOKUP("10.9",A2:W103,9,FALSE)),ROUND(VLOOKUP("10.9",A2:W103,9,FALSE),4),0) + IF(ISNUMBER(VLOOKUP("2.1.3",A2:W103,9,FALSE)),ROUND(VLOOKUP("2.1.3",A2:W103,9,FALSE),4),0) - (IF(ISNUMBER(VLOOKUP("2.1.3.1",A2:W103,9,FALSE)),ROUND(VLOOKUP("2.1.3.1",A2:W103,9,FALSE),4),0) + IF(ISNUMBER(VLOOKUP("2.1.3.2",A2:W103,9,FALSE)),ROUND(VLOOKUP("2.1.3.2",A2:W103,9,FALSE),4),0) + IF(ISNA(VLOOKUP("2.1.3.3",A2:W103,9,FALSE)),0,ROUND(VLOOKUP("2.1.3.3",A2:W103,9,FALSE),4))) + IF(ISNUMBER(VLOOKUP("10.4",A2:W103,9,FALSE)),ROUND(VLOOKUP("10.4",A2:W103,9,FALSE),4),0)) / (IF(ISNUMBER(VLOOKUP("1.1",A2:W103,9,FALSE)),ROUND(VLOOKUP("1.1",A2:W103,9,FALSE),4),0) - IF(ISNUMBER(VLOOKUP("1.1.4",A2:W103,9,FALSE)),ROUND(VLOOKUP("1.1.4",A2:W103,9,FALSE),4),0) - IF(ISNA(VLOOKUP("11.1.1",A2:W103,9,FALSE)),0,ROUND(VLOOKUP("11.1.1",A2:W103,9,FALSE),4)))</f>
      </c>
      <c r="J61" s="16">
        <f>=(IF(ISNUMBER(VLOOKUP("5.1",A2:W103,10,FALSE)),ROUND(VLOOKUP("5.1",A2:W103,10,FALSE),4),0) - IF(ISNUMBER(VLOOKUP("5.1.1",A2:W103,10,FALSE)),ROUND(VLOOKUP("5.1.1",A2:W103,10,FALSE),4),0) + IF(ISNUMBER(VLOOKUP("10.7.2.1",A2:W103,10,FALSE)),ROUND(VLOOKUP("10.7.2.1",A2:W103,10,FALSE),4),0) - IF(ISNUMBER(VLOOKUP("10.9",A2:W103,10,FALSE)),ROUND(VLOOKUP("10.9",A2:W103,10,FALSE),4),0) + IF(ISNUMBER(VLOOKUP("2.1.3",A2:W103,10,FALSE)),ROUND(VLOOKUP("2.1.3",A2:W103,10,FALSE),4),0) - (IF(ISNUMBER(VLOOKUP("2.1.3.1",A2:W103,10,FALSE)),ROUND(VLOOKUP("2.1.3.1",A2:W103,10,FALSE),4),0) + IF(ISNUMBER(VLOOKUP("2.1.3.2",A2:W103,10,FALSE)),ROUND(VLOOKUP("2.1.3.2",A2:W103,10,FALSE),4),0) + IF(ISNA(VLOOKUP("2.1.3.3",A2:W103,10,FALSE)),0,ROUND(VLOOKUP("2.1.3.3",A2:W103,10,FALSE),4))) + IF(ISNUMBER(VLOOKUP("10.4",A2:W103,10,FALSE)),ROUND(VLOOKUP("10.4",A2:W103,10,FALSE),4),0)) / (IF(ISNUMBER(VLOOKUP("1.1",A2:W103,10,FALSE)),ROUND(VLOOKUP("1.1",A2:W103,10,FALSE),4),0) - IF(ISNUMBER(VLOOKUP("1.1.4",A2:W103,10,FALSE)),ROUND(VLOOKUP("1.1.4",A2:W103,10,FALSE),4),0) - IF(ISNA(VLOOKUP("11.1.1",A2:W103,10,FALSE)),0,ROUND(VLOOKUP("11.1.1",A2:W103,10,FALSE),4)))</f>
      </c>
      <c r="K61" s="17">
        <f>=(IF(ISNUMBER(VLOOKUP("5.1",A2:W103,11,FALSE)),ROUND(VLOOKUP("5.1",A2:W103,11,FALSE),4),0) - IF(ISNUMBER(VLOOKUP("5.1.1",A2:W103,11,FALSE)),ROUND(VLOOKUP("5.1.1",A2:W103,11,FALSE),4),0) + IF(ISNUMBER(VLOOKUP("10.7.2.1",A2:W103,11,FALSE)),ROUND(VLOOKUP("10.7.2.1",A2:W103,11,FALSE),4),0) - IF(ISNUMBER(VLOOKUP("10.9",A2:W103,11,FALSE)),ROUND(VLOOKUP("10.9",A2:W103,11,FALSE),4),0) + IF(ISNUMBER(VLOOKUP("2.1.3",A2:W103,11,FALSE)),ROUND(VLOOKUP("2.1.3",A2:W103,11,FALSE),4),0) - (IF(ISNUMBER(VLOOKUP("2.1.3.1",A2:W103,11,FALSE)),ROUND(VLOOKUP("2.1.3.1",A2:W103,11,FALSE),4),0) + IF(ISNUMBER(VLOOKUP("2.1.3.2",A2:W103,11,FALSE)),ROUND(VLOOKUP("2.1.3.2",A2:W103,11,FALSE),4),0) + IF(ISNA(VLOOKUP("2.1.3.3",A2:W103,11,FALSE)),0,ROUND(VLOOKUP("2.1.3.3",A2:W103,11,FALSE),4))) + IF(ISNUMBER(VLOOKUP("10.4",A2:W103,11,FALSE)),ROUND(VLOOKUP("10.4",A2:W103,11,FALSE),4),0)) / (IF(ISNUMBER(VLOOKUP("1.1",A2:W103,11,FALSE)),ROUND(VLOOKUP("1.1",A2:W103,11,FALSE),4),0) - IF(ISNUMBER(VLOOKUP("1.1.4",A2:W103,11,FALSE)),ROUND(VLOOKUP("1.1.4",A2:W103,11,FALSE),4),0) - IF(ISNA(VLOOKUP("11.1.1",A2:W103,11,FALSE)),0,ROUND(VLOOKUP("11.1.1",A2:W103,11,FALSE),4)))</f>
      </c>
      <c r="L61" s="17">
        <f>=(IF(ISNUMBER(VLOOKUP("5.1",A2:W103,12,FALSE)),ROUND(VLOOKUP("5.1",A2:W103,12,FALSE),4),0) - IF(ISNUMBER(VLOOKUP("5.1.1",A2:W103,12,FALSE)),ROUND(VLOOKUP("5.1.1",A2:W103,12,FALSE),4),0) + IF(ISNUMBER(VLOOKUP("10.7.2.1",A2:W103,12,FALSE)),ROUND(VLOOKUP("10.7.2.1",A2:W103,12,FALSE),4),0) - IF(ISNUMBER(VLOOKUP("10.9",A2:W103,12,FALSE)),ROUND(VLOOKUP("10.9",A2:W103,12,FALSE),4),0) + IF(ISNUMBER(VLOOKUP("2.1.3",A2:W103,12,FALSE)),ROUND(VLOOKUP("2.1.3",A2:W103,12,FALSE),4),0) - (IF(ISNUMBER(VLOOKUP("2.1.3.1",A2:W103,12,FALSE)),ROUND(VLOOKUP("2.1.3.1",A2:W103,12,FALSE),4),0) + IF(ISNUMBER(VLOOKUP("2.1.3.2",A2:W103,12,FALSE)),ROUND(VLOOKUP("2.1.3.2",A2:W103,12,FALSE),4),0) + IF(ISNA(VLOOKUP("2.1.3.3",A2:W103,12,FALSE)),0,ROUND(VLOOKUP("2.1.3.3",A2:W103,12,FALSE),4))) + IF(ISNUMBER(VLOOKUP("10.4",A2:W103,12,FALSE)),ROUND(VLOOKUP("10.4",A2:W103,12,FALSE),4),0)) / (IF(ISNUMBER(VLOOKUP("1.1",A2:W103,12,FALSE)),ROUND(VLOOKUP("1.1",A2:W103,12,FALSE),4),0) - IF(ISNUMBER(VLOOKUP("1.1.4",A2:W103,12,FALSE)),ROUND(VLOOKUP("1.1.4",A2:W103,12,FALSE),4),0) - IF(ISNA(VLOOKUP("11.1.1",A2:W103,12,FALSE)),0,ROUND(VLOOKUP("11.1.1",A2:W103,12,FALSE),4)))</f>
      </c>
      <c r="M61" s="17">
        <f>=(IF(ISNUMBER(VLOOKUP("5.1",A2:W103,13,FALSE)),ROUND(VLOOKUP("5.1",A2:W103,13,FALSE),4),0) - IF(ISNUMBER(VLOOKUP("5.1.1",A2:W103,13,FALSE)),ROUND(VLOOKUP("5.1.1",A2:W103,13,FALSE),4),0) + IF(ISNUMBER(VLOOKUP("10.7.2.1",A2:W103,13,FALSE)),ROUND(VLOOKUP("10.7.2.1",A2:W103,13,FALSE),4),0) - IF(ISNUMBER(VLOOKUP("10.9",A2:W103,13,FALSE)),ROUND(VLOOKUP("10.9",A2:W103,13,FALSE),4),0) + IF(ISNUMBER(VLOOKUP("2.1.2",A2:W103,13,FALSE)),ROUND(VLOOKUP("2.1.2",A2:W103,13,FALSE),4),0) - IF(ISNUMBER(VLOOKUP("2.1.2.1",A2:W103,13,FALSE)),ROUND(VLOOKUP("2.1.2.1",A2:W103,13,FALSE),4),0) + IF(ISNUMBER(VLOOKUP("2.1.3",A2:W103,13,FALSE)),ROUND(VLOOKUP("2.1.3",A2:W103,13,FALSE),4),0) - (IF(ISNUMBER(VLOOKUP("2.1.3.1",A2:W103,13,FALSE)),ROUND(VLOOKUP("2.1.3.1",A2:W103,13,FALSE),4),0) + IF(ISNUMBER(VLOOKUP("2.1.3.2",A2:W103,13,FALSE)),ROUND(VLOOKUP("2.1.3.2",A2:W103,13,FALSE),4),0) + IF(ISNA(VLOOKUP("2.1.3.3",A2:W103,13,FALSE)),0,ROUND(VLOOKUP("2.1.3.3",A2:W103,13,FALSE),4))) + IF(ISNUMBER(VLOOKUP("10.4",A2:W103,13,FALSE)),ROUND(VLOOKUP("10.4",A2:W103,13,FALSE),4),0)) / (IF(ISNUMBER(VLOOKUP("1.1",A2:W103,13,FALSE)),ROUND(VLOOKUP("1.1",A2:W103,13,FALSE),4),0) - IF(ISNUMBER(VLOOKUP("1.1.4",A2:W103,13,FALSE)),ROUND(VLOOKUP("1.1.4",A2:W103,13,FALSE),4),0) - IF(ISNA(VLOOKUP("11.1.1",A2:W103,13,FALSE)),0,ROUND(VLOOKUP("11.1.1",A2:W103,13,FALSE),4)))</f>
      </c>
      <c r="N61" s="17">
        <f>=(IF(ISNUMBER(VLOOKUP("5.1",A2:W103,14,FALSE)),ROUND(VLOOKUP("5.1",A2:W103,14,FALSE),4),0) - IF(ISNUMBER(VLOOKUP("5.1.1",A2:W103,14,FALSE)),ROUND(VLOOKUP("5.1.1",A2:W103,14,FALSE),4),0) + IF(ISNUMBER(VLOOKUP("10.7.2.1",A2:W103,14,FALSE)),ROUND(VLOOKUP("10.7.2.1",A2:W103,14,FALSE),4),0) - IF(ISNUMBER(VLOOKUP("10.9",A2:W103,14,FALSE)),ROUND(VLOOKUP("10.9",A2:W103,14,FALSE),4),0) + IF(ISNUMBER(VLOOKUP("2.1.2",A2:W103,14,FALSE)),ROUND(VLOOKUP("2.1.2",A2:W103,14,FALSE),4),0) - IF(ISNUMBER(VLOOKUP("2.1.2.1",A2:W103,14,FALSE)),ROUND(VLOOKUP("2.1.2.1",A2:W103,14,FALSE),4),0) + IF(ISNUMBER(VLOOKUP("2.1.3",A2:W103,14,FALSE)),ROUND(VLOOKUP("2.1.3",A2:W103,14,FALSE),4),0) - (IF(ISNUMBER(VLOOKUP("2.1.3.1",A2:W103,14,FALSE)),ROUND(VLOOKUP("2.1.3.1",A2:W103,14,FALSE),4),0) + IF(ISNUMBER(VLOOKUP("2.1.3.2",A2:W103,14,FALSE)),ROUND(VLOOKUP("2.1.3.2",A2:W103,14,FALSE),4),0) + IF(ISNA(VLOOKUP("2.1.3.3",A2:W103,14,FALSE)),0,ROUND(VLOOKUP("2.1.3.3",A2:W103,14,FALSE),4))) + IF(ISNUMBER(VLOOKUP("10.4",A2:W103,14,FALSE)),ROUND(VLOOKUP("10.4",A2:W103,14,FALSE),4),0)) / (IF(ISNUMBER(VLOOKUP("1.1",A2:W103,14,FALSE)),ROUND(VLOOKUP("1.1",A2:W103,14,FALSE),4),0) - IF(ISNUMBER(VLOOKUP("1.1.4",A2:W103,14,FALSE)),ROUND(VLOOKUP("1.1.4",A2:W103,14,FALSE),4),0) - IF(ISNA(VLOOKUP("11.1.1",A2:W103,14,FALSE)),0,ROUND(VLOOKUP("11.1.1",A2:W103,14,FALSE),4)))</f>
      </c>
      <c r="O61" s="17">
        <f>=(IF(ISNUMBER(VLOOKUP("5.1",A2:W103,15,FALSE)),ROUND(VLOOKUP("5.1",A2:W103,15,FALSE),4),0) - IF(ISNUMBER(VLOOKUP("5.1.1",A2:W103,15,FALSE)),ROUND(VLOOKUP("5.1.1",A2:W103,15,FALSE),4),0) + IF(ISNUMBER(VLOOKUP("10.7.2.1",A2:W103,15,FALSE)),ROUND(VLOOKUP("10.7.2.1",A2:W103,15,FALSE),4),0) - IF(ISNUMBER(VLOOKUP("10.9",A2:W103,15,FALSE)),ROUND(VLOOKUP("10.9",A2:W103,15,FALSE),4),0) + IF(ISNUMBER(VLOOKUP("2.1.2",A2:W103,15,FALSE)),ROUND(VLOOKUP("2.1.2",A2:W103,15,FALSE),4),0) - IF(ISNUMBER(VLOOKUP("2.1.2.1",A2:W103,15,FALSE)),ROUND(VLOOKUP("2.1.2.1",A2:W103,15,FALSE),4),0) + IF(ISNUMBER(VLOOKUP("2.1.3",A2:W103,15,FALSE)),ROUND(VLOOKUP("2.1.3",A2:W103,15,FALSE),4),0) - (IF(ISNUMBER(VLOOKUP("2.1.3.1",A2:W103,15,FALSE)),ROUND(VLOOKUP("2.1.3.1",A2:W103,15,FALSE),4),0) + IF(ISNUMBER(VLOOKUP("2.1.3.2",A2:W103,15,FALSE)),ROUND(VLOOKUP("2.1.3.2",A2:W103,15,FALSE),4),0) + IF(ISNA(VLOOKUP("2.1.3.3",A2:W103,15,FALSE)),0,ROUND(VLOOKUP("2.1.3.3",A2:W103,15,FALSE),4))) + IF(ISNUMBER(VLOOKUP("10.4",A2:W103,15,FALSE)),ROUND(VLOOKUP("10.4",A2:W103,15,FALSE),4),0)) / (IF(ISNUMBER(VLOOKUP("1.1",A2:W103,15,FALSE)),ROUND(VLOOKUP("1.1",A2:W103,15,FALSE),4),0) - IF(ISNUMBER(VLOOKUP("1.1.4",A2:W103,15,FALSE)),ROUND(VLOOKUP("1.1.4",A2:W103,15,FALSE),4),0) - IF(ISNA(VLOOKUP("11.1.1",A2:W103,15,FALSE)),0,ROUND(VLOOKUP("11.1.1",A2:W103,15,FALSE),4)))</f>
      </c>
      <c r="P61" s="17">
        <f>=(IF(ISNUMBER(VLOOKUP("5.1",A2:W103,16,FALSE)),ROUND(VLOOKUP("5.1",A2:W103,16,FALSE),4),0) - IF(ISNUMBER(VLOOKUP("5.1.1",A2:W103,16,FALSE)),ROUND(VLOOKUP("5.1.1",A2:W103,16,FALSE),4),0) + IF(ISNUMBER(VLOOKUP("10.7.2.1",A2:W103,16,FALSE)),ROUND(VLOOKUP("10.7.2.1",A2:W103,16,FALSE),4),0) - IF(ISNUMBER(VLOOKUP("10.9",A2:W103,16,FALSE)),ROUND(VLOOKUP("10.9",A2:W103,16,FALSE),4),0) + IF(ISNUMBER(VLOOKUP("2.1.2",A2:W103,16,FALSE)),ROUND(VLOOKUP("2.1.2",A2:W103,16,FALSE),4),0) - IF(ISNUMBER(VLOOKUP("2.1.2.1",A2:W103,16,FALSE)),ROUND(VLOOKUP("2.1.2.1",A2:W103,16,FALSE),4),0) + IF(ISNUMBER(VLOOKUP("2.1.3",A2:W103,16,FALSE)),ROUND(VLOOKUP("2.1.3",A2:W103,16,FALSE),4),0) - (IF(ISNUMBER(VLOOKUP("2.1.3.1",A2:W103,16,FALSE)),ROUND(VLOOKUP("2.1.3.1",A2:W103,16,FALSE),4),0) + IF(ISNUMBER(VLOOKUP("2.1.3.2",A2:W103,16,FALSE)),ROUND(VLOOKUP("2.1.3.2",A2:W103,16,FALSE),4),0) + IF(ISNA(VLOOKUP("2.1.3.3",A2:W103,16,FALSE)),0,ROUND(VLOOKUP("2.1.3.3",A2:W103,16,FALSE),4))) + IF(ISNUMBER(VLOOKUP("10.4",A2:W103,16,FALSE)),ROUND(VLOOKUP("10.4",A2:W103,16,FALSE),4),0)) / (IF(ISNUMBER(VLOOKUP("1.1",A2:W103,16,FALSE)),ROUND(VLOOKUP("1.1",A2:W103,16,FALSE),4),0) - IF(ISNUMBER(VLOOKUP("1.1.4",A2:W103,16,FALSE)),ROUND(VLOOKUP("1.1.4",A2:W103,16,FALSE),4),0) - IF(ISNA(VLOOKUP("11.1.1",A2:W103,16,FALSE)),0,ROUND(VLOOKUP("11.1.1",A2:W103,16,FALSE),4)))</f>
      </c>
      <c r="Q61" s="17">
        <f>=(IF(ISNUMBER(VLOOKUP("5.1",A2:W103,17,FALSE)),ROUND(VLOOKUP("5.1",A2:W103,17,FALSE),4),0) - IF(ISNUMBER(VLOOKUP("5.1.1",A2:W103,17,FALSE)),ROUND(VLOOKUP("5.1.1",A2:W103,17,FALSE),4),0) + IF(ISNUMBER(VLOOKUP("10.7.2.1",A2:W103,17,FALSE)),ROUND(VLOOKUP("10.7.2.1",A2:W103,17,FALSE),4),0) - IF(ISNUMBER(VLOOKUP("10.9",A2:W103,17,FALSE)),ROUND(VLOOKUP("10.9",A2:W103,17,FALSE),4),0) + IF(ISNUMBER(VLOOKUP("2.1.2",A2:W103,17,FALSE)),ROUND(VLOOKUP("2.1.2",A2:W103,17,FALSE),4),0) - IF(ISNUMBER(VLOOKUP("2.1.2.1",A2:W103,17,FALSE)),ROUND(VLOOKUP("2.1.2.1",A2:W103,17,FALSE),4),0) + IF(ISNUMBER(VLOOKUP("2.1.3",A2:W103,17,FALSE)),ROUND(VLOOKUP("2.1.3",A2:W103,17,FALSE),4),0) - (IF(ISNUMBER(VLOOKUP("2.1.3.1",A2:W103,17,FALSE)),ROUND(VLOOKUP("2.1.3.1",A2:W103,17,FALSE),4),0) + IF(ISNUMBER(VLOOKUP("2.1.3.2",A2:W103,17,FALSE)),ROUND(VLOOKUP("2.1.3.2",A2:W103,17,FALSE),4),0) + IF(ISNA(VLOOKUP("2.1.3.3",A2:W103,17,FALSE)),0,ROUND(VLOOKUP("2.1.3.3",A2:W103,17,FALSE),4))) + IF(ISNUMBER(VLOOKUP("10.4",A2:W103,17,FALSE)),ROUND(VLOOKUP("10.4",A2:W103,17,FALSE),4),0)) / (IF(ISNUMBER(VLOOKUP("1.1",A2:W103,17,FALSE)),ROUND(VLOOKUP("1.1",A2:W103,17,FALSE),4),0) - IF(ISNUMBER(VLOOKUP("1.1.4",A2:W103,17,FALSE)),ROUND(VLOOKUP("1.1.4",A2:W103,17,FALSE),4),0) - IF(ISNA(VLOOKUP("11.1.1",A2:W103,17,FALSE)),0,ROUND(VLOOKUP("11.1.1",A2:W103,17,FALSE),4)))</f>
      </c>
      <c r="R61" s="17">
        <f>=(IF(ISNUMBER(VLOOKUP("5.1",A2:W103,18,FALSE)),ROUND(VLOOKUP("5.1",A2:W103,18,FALSE),4),0) - IF(ISNUMBER(VLOOKUP("5.1.1",A2:W103,18,FALSE)),ROUND(VLOOKUP("5.1.1",A2:W103,18,FALSE),4),0) + IF(ISNUMBER(VLOOKUP("10.7.2.1",A2:W103,18,FALSE)),ROUND(VLOOKUP("10.7.2.1",A2:W103,18,FALSE),4),0) - IF(ISNUMBER(VLOOKUP("10.9",A2:W103,18,FALSE)),ROUND(VLOOKUP("10.9",A2:W103,18,FALSE),4),0) + IF(ISNUMBER(VLOOKUP("2.1.2",A2:W103,18,FALSE)),ROUND(VLOOKUP("2.1.2",A2:W103,18,FALSE),4),0) - IF(ISNUMBER(VLOOKUP("2.1.2.1",A2:W103,18,FALSE)),ROUND(VLOOKUP("2.1.2.1",A2:W103,18,FALSE),4),0) + IF(ISNUMBER(VLOOKUP("2.1.3",A2:W103,18,FALSE)),ROUND(VLOOKUP("2.1.3",A2:W103,18,FALSE),4),0) - (IF(ISNUMBER(VLOOKUP("2.1.3.1",A2:W103,18,FALSE)),ROUND(VLOOKUP("2.1.3.1",A2:W103,18,FALSE),4),0) + IF(ISNUMBER(VLOOKUP("2.1.3.2",A2:W103,18,FALSE)),ROUND(VLOOKUP("2.1.3.2",A2:W103,18,FALSE),4),0) + IF(ISNA(VLOOKUP("2.1.3.3",A2:W103,18,FALSE)),0,ROUND(VLOOKUP("2.1.3.3",A2:W103,18,FALSE),4))) + IF(ISNUMBER(VLOOKUP("10.4",A2:W103,18,FALSE)),ROUND(VLOOKUP("10.4",A2:W103,18,FALSE),4),0)) / (IF(ISNUMBER(VLOOKUP("1.1",A2:W103,18,FALSE)),ROUND(VLOOKUP("1.1",A2:W103,18,FALSE),4),0) - IF(ISNUMBER(VLOOKUP("1.1.4",A2:W103,18,FALSE)),ROUND(VLOOKUP("1.1.4",A2:W103,18,FALSE),4),0) - IF(ISNA(VLOOKUP("11.1.1",A2:W103,18,FALSE)),0,ROUND(VLOOKUP("11.1.1",A2:W103,18,FALSE),4)))</f>
      </c>
      <c r="S61" s="17">
        <f>=(IF(ISNUMBER(VLOOKUP("5.1",A2:W103,19,FALSE)),ROUND(VLOOKUP("5.1",A2:W103,19,FALSE),4),0) - IF(ISNUMBER(VLOOKUP("5.1.1",A2:W103,19,FALSE)),ROUND(VLOOKUP("5.1.1",A2:W103,19,FALSE),4),0) + IF(ISNUMBER(VLOOKUP("10.7.2.1",A2:W103,19,FALSE)),ROUND(VLOOKUP("10.7.2.1",A2:W103,19,FALSE),4),0) - IF(ISNUMBER(VLOOKUP("10.9",A2:W103,19,FALSE)),ROUND(VLOOKUP("10.9",A2:W103,19,FALSE),4),0) + IF(ISNUMBER(VLOOKUP("2.1.2",A2:W103,19,FALSE)),ROUND(VLOOKUP("2.1.2",A2:W103,19,FALSE),4),0) - IF(ISNUMBER(VLOOKUP("2.1.2.1",A2:W103,19,FALSE)),ROUND(VLOOKUP("2.1.2.1",A2:W103,19,FALSE),4),0) + IF(ISNUMBER(VLOOKUP("2.1.3",A2:W103,19,FALSE)),ROUND(VLOOKUP("2.1.3",A2:W103,19,FALSE),4),0) - (IF(ISNUMBER(VLOOKUP("2.1.3.1",A2:W103,19,FALSE)),ROUND(VLOOKUP("2.1.3.1",A2:W103,19,FALSE),4),0) + IF(ISNUMBER(VLOOKUP("2.1.3.2",A2:W103,19,FALSE)),ROUND(VLOOKUP("2.1.3.2",A2:W103,19,FALSE),4),0) + IF(ISNA(VLOOKUP("2.1.3.3",A2:W103,19,FALSE)),0,ROUND(VLOOKUP("2.1.3.3",A2:W103,19,FALSE),4))) + IF(ISNUMBER(VLOOKUP("10.4",A2:W103,19,FALSE)),ROUND(VLOOKUP("10.4",A2:W103,19,FALSE),4),0)) / (IF(ISNUMBER(VLOOKUP("1.1",A2:W103,19,FALSE)),ROUND(VLOOKUP("1.1",A2:W103,19,FALSE),4),0) - IF(ISNUMBER(VLOOKUP("1.1.4",A2:W103,19,FALSE)),ROUND(VLOOKUP("1.1.4",A2:W103,19,FALSE),4),0) - IF(ISNA(VLOOKUP("11.1.1",A2:W103,19,FALSE)),0,ROUND(VLOOKUP("11.1.1",A2:W103,19,FALSE),4)))</f>
      </c>
      <c r="T61" s="17">
        <f>=(IF(ISNUMBER(VLOOKUP("5.1",A2:W103,20,FALSE)),ROUND(VLOOKUP("5.1",A2:W103,20,FALSE),4),0) - IF(ISNUMBER(VLOOKUP("5.1.1",A2:W103,20,FALSE)),ROUND(VLOOKUP("5.1.1",A2:W103,20,FALSE),4),0) + IF(ISNUMBER(VLOOKUP("10.7.2.1",A2:W103,20,FALSE)),ROUND(VLOOKUP("10.7.2.1",A2:W103,20,FALSE),4),0) - IF(ISNUMBER(VLOOKUP("10.9",A2:W103,20,FALSE)),ROUND(VLOOKUP("10.9",A2:W103,20,FALSE),4),0) + IF(ISNUMBER(VLOOKUP("2.1.2",A2:W103,20,FALSE)),ROUND(VLOOKUP("2.1.2",A2:W103,20,FALSE),4),0) - IF(ISNUMBER(VLOOKUP("2.1.2.1",A2:W103,20,FALSE)),ROUND(VLOOKUP("2.1.2.1",A2:W103,20,FALSE),4),0) + IF(ISNUMBER(VLOOKUP("2.1.3",A2:W103,20,FALSE)),ROUND(VLOOKUP("2.1.3",A2:W103,20,FALSE),4),0) - (IF(ISNUMBER(VLOOKUP("2.1.3.1",A2:W103,20,FALSE)),ROUND(VLOOKUP("2.1.3.1",A2:W103,20,FALSE),4),0) + IF(ISNUMBER(VLOOKUP("2.1.3.2",A2:W103,20,FALSE)),ROUND(VLOOKUP("2.1.3.2",A2:W103,20,FALSE),4),0) + IF(ISNA(VLOOKUP("2.1.3.3",A2:W103,20,FALSE)),0,ROUND(VLOOKUP("2.1.3.3",A2:W103,20,FALSE),4))) + IF(ISNUMBER(VLOOKUP("10.4",A2:W103,20,FALSE)),ROUND(VLOOKUP("10.4",A2:W103,20,FALSE),4),0)) / (IF(ISNUMBER(VLOOKUP("1.1",A2:W103,20,FALSE)),ROUND(VLOOKUP("1.1",A2:W103,20,FALSE),4),0) - IF(ISNUMBER(VLOOKUP("1.1.4",A2:W103,20,FALSE)),ROUND(VLOOKUP("1.1.4",A2:W103,20,FALSE),4),0) - IF(ISNA(VLOOKUP("11.1.1",A2:W103,20,FALSE)),0,ROUND(VLOOKUP("11.1.1",A2:W103,20,FALSE),4)))</f>
      </c>
      <c r="U61" s="17">
        <f>=(IF(ISNUMBER(VLOOKUP("5.1",A2:W103,21,FALSE)),ROUND(VLOOKUP("5.1",A2:W103,21,FALSE),4),0) - IF(ISNUMBER(VLOOKUP("5.1.1",A2:W103,21,FALSE)),ROUND(VLOOKUP("5.1.1",A2:W103,21,FALSE),4),0) + IF(ISNUMBER(VLOOKUP("10.7.2.1",A2:W103,21,FALSE)),ROUND(VLOOKUP("10.7.2.1",A2:W103,21,FALSE),4),0) - IF(ISNUMBER(VLOOKUP("10.9",A2:W103,21,FALSE)),ROUND(VLOOKUP("10.9",A2:W103,21,FALSE),4),0) + IF(ISNUMBER(VLOOKUP("2.1.2",A2:W103,21,FALSE)),ROUND(VLOOKUP("2.1.2",A2:W103,21,FALSE),4),0) - IF(ISNUMBER(VLOOKUP("2.1.2.1",A2:W103,21,FALSE)),ROUND(VLOOKUP("2.1.2.1",A2:W103,21,FALSE),4),0) + IF(ISNUMBER(VLOOKUP("2.1.3",A2:W103,21,FALSE)),ROUND(VLOOKUP("2.1.3",A2:W103,21,FALSE),4),0) - (IF(ISNUMBER(VLOOKUP("2.1.3.1",A2:W103,21,FALSE)),ROUND(VLOOKUP("2.1.3.1",A2:W103,21,FALSE),4),0) + IF(ISNUMBER(VLOOKUP("2.1.3.2",A2:W103,21,FALSE)),ROUND(VLOOKUP("2.1.3.2",A2:W103,21,FALSE),4),0) + IF(ISNA(VLOOKUP("2.1.3.3",A2:W103,21,FALSE)),0,ROUND(VLOOKUP("2.1.3.3",A2:W103,21,FALSE),4))) + IF(ISNUMBER(VLOOKUP("10.4",A2:W103,21,FALSE)),ROUND(VLOOKUP("10.4",A2:W103,21,FALSE),4),0)) / (IF(ISNUMBER(VLOOKUP("1.1",A2:W103,21,FALSE)),ROUND(VLOOKUP("1.1",A2:W103,21,FALSE),4),0) - IF(ISNUMBER(VLOOKUP("1.1.4",A2:W103,21,FALSE)),ROUND(VLOOKUP("1.1.4",A2:W103,21,FALSE),4),0) - IF(ISNA(VLOOKUP("11.1.1",A2:W103,21,FALSE)),0,ROUND(VLOOKUP("11.1.1",A2:W103,21,FALSE),4)))</f>
      </c>
      <c r="V61" s="17">
        <f>=(IF(ISNUMBER(VLOOKUP("5.1",A2:W103,22,FALSE)),ROUND(VLOOKUP("5.1",A2:W103,22,FALSE),4),0) - IF(ISNUMBER(VLOOKUP("5.1.1",A2:W103,22,FALSE)),ROUND(VLOOKUP("5.1.1",A2:W103,22,FALSE),4),0) + IF(ISNUMBER(VLOOKUP("10.7.2.1",A2:W103,22,FALSE)),ROUND(VLOOKUP("10.7.2.1",A2:W103,22,FALSE),4),0) - IF(ISNUMBER(VLOOKUP("10.9",A2:W103,22,FALSE)),ROUND(VLOOKUP("10.9",A2:W103,22,FALSE),4),0) + IF(ISNUMBER(VLOOKUP("2.1.2",A2:W103,22,FALSE)),ROUND(VLOOKUP("2.1.2",A2:W103,22,FALSE),4),0) - IF(ISNUMBER(VLOOKUP("2.1.2.1",A2:W103,22,FALSE)),ROUND(VLOOKUP("2.1.2.1",A2:W103,22,FALSE),4),0) + IF(ISNUMBER(VLOOKUP("2.1.3",A2:W103,22,FALSE)),ROUND(VLOOKUP("2.1.3",A2:W103,22,FALSE),4),0) - (IF(ISNUMBER(VLOOKUP("2.1.3.1",A2:W103,22,FALSE)),ROUND(VLOOKUP("2.1.3.1",A2:W103,22,FALSE),4),0) + IF(ISNUMBER(VLOOKUP("2.1.3.2",A2:W103,22,FALSE)),ROUND(VLOOKUP("2.1.3.2",A2:W103,22,FALSE),4),0) + IF(ISNA(VLOOKUP("2.1.3.3",A2:W103,22,FALSE)),0,ROUND(VLOOKUP("2.1.3.3",A2:W103,22,FALSE),4))) + IF(ISNUMBER(VLOOKUP("10.4",A2:W103,22,FALSE)),ROUND(VLOOKUP("10.4",A2:W103,22,FALSE),4),0)) / (IF(ISNUMBER(VLOOKUP("1.1",A2:W103,22,FALSE)),ROUND(VLOOKUP("1.1",A2:W103,22,FALSE),4),0) - IF(ISNUMBER(VLOOKUP("1.1.4",A2:W103,22,FALSE)),ROUND(VLOOKUP("1.1.4",A2:W103,22,FALSE),4),0) - IF(ISNA(VLOOKUP("11.1.1",A2:W103,22,FALSE)),0,ROUND(VLOOKUP("11.1.1",A2:W103,22,FALSE),4)))</f>
      </c>
      <c r="W61" s="17">
        <f>=(IF(ISNUMBER(VLOOKUP("5.1",A2:W103,23,FALSE)),ROUND(VLOOKUP("5.1",A2:W103,23,FALSE),4),0) - IF(ISNUMBER(VLOOKUP("5.1.1",A2:W103,23,FALSE)),ROUND(VLOOKUP("5.1.1",A2:W103,23,FALSE),4),0) + IF(ISNUMBER(VLOOKUP("10.7.2.1",A2:W103,23,FALSE)),ROUND(VLOOKUP("10.7.2.1",A2:W103,23,FALSE),4),0) - IF(ISNUMBER(VLOOKUP("10.9",A2:W103,23,FALSE)),ROUND(VLOOKUP("10.9",A2:W103,23,FALSE),4),0) + IF(ISNUMBER(VLOOKUP("2.1.2",A2:W103,23,FALSE)),ROUND(VLOOKUP("2.1.2",A2:W103,23,FALSE),4),0) - IF(ISNUMBER(VLOOKUP("2.1.2.1",A2:W103,23,FALSE)),ROUND(VLOOKUP("2.1.2.1",A2:W103,23,FALSE),4),0) + IF(ISNUMBER(VLOOKUP("2.1.3",A2:W103,23,FALSE)),ROUND(VLOOKUP("2.1.3",A2:W103,23,FALSE),4),0) - (IF(ISNUMBER(VLOOKUP("2.1.3.1",A2:W103,23,FALSE)),ROUND(VLOOKUP("2.1.3.1",A2:W103,23,FALSE),4),0) + IF(ISNUMBER(VLOOKUP("2.1.3.2",A2:W103,23,FALSE)),ROUND(VLOOKUP("2.1.3.2",A2:W103,23,FALSE),4),0) + IF(ISNA(VLOOKUP("2.1.3.3",A2:W103,23,FALSE)),0,ROUND(VLOOKUP("2.1.3.3",A2:W103,23,FALSE),4))) + IF(ISNUMBER(VLOOKUP("10.4",A2:W103,23,FALSE)),ROUND(VLOOKUP("10.4",A2:W103,23,FALSE),4),0)) / (IF(ISNUMBER(VLOOKUP("1.1",A2:W103,23,FALSE)),ROUND(VLOOKUP("1.1",A2:W103,23,FALSE),4),0) - IF(ISNUMBER(VLOOKUP("1.1.4",A2:W103,23,FALSE)),ROUND(VLOOKUP("1.1.4",A2:W103,23,FALSE),4),0) - IF(ISNA(VLOOKUP("11.1.1",A2:W103,23,FALSE)),0,ROUND(VLOOKUP("11.1.1",A2:W103,23,FALSE),4)))</f>
      </c>
    </row>
    <row r="62" ht="39.9583320617676" customHeight="1">
      <c r="A62" s="14" t="s">
        <v>137</v>
      </c>
      <c r="B62" s="15" t="s">
        <v>138</v>
      </c>
      <c r="C62" s="16">
        <f>=((IF(ISNUMBER(VLOOKUP("1.1",A2:W103,3,FALSE)),ROUND(VLOOKUP("1.1",A2:W103,3,FALSE),4),0) - IF(ISNUMBER(VLOOKUP("9.1.1",A2:W103,3,FALSE)),ROUND(VLOOKUP("9.1.1",A2:W103,3,FALSE),4),0) - IF(ISNA(VLOOKUP("11.1.1",A2:W103,3,FALSE)),0,ROUND(VLOOKUP("11.1.1",A2:W103,3,FALSE),4))) - (IF(ISNUMBER(VLOOKUP("2.1",A2:W103,3,FALSE)),ROUND(VLOOKUP("2.1",A2:W103,3,FALSE),4),0) - IF(ISNUMBER(VLOOKUP("9.3.1",A2:W103,3,FALSE)),ROUND(VLOOKUP("9.3.1",A2:W103,3,FALSE),4),0) - IF(ISNUMBER(VLOOKUP("10.7.2.1.1",A2:W103,3,FALSE)),ROUND(VLOOKUP("10.7.2.1.1",A2:W103,3,FALSE),4),0) - IF(ISNUMBER(VLOOKUP("2.1.3",A2:W103,3,FALSE)),ROUND(VLOOKUP("2.1.3",A2:W103,3,FALSE),4),0) - IF(ISNA(VLOOKUP("10.11",A2:W103,3,FALSE)),0,ROUND(VLOOKUP("10.11",A2:W103,3,FALSE),4)))) / (IF(ISNUMBER(VLOOKUP("1.1",A2:W103,3,FALSE)),ROUND(VLOOKUP("1.1",A2:W103,3,FALSE),4),0) - IF(ISNUMBER(VLOOKUP("1.1.4",A2:W103,3,FALSE)),ROUND(VLOOKUP("1.1.4",A2:W103,3,FALSE),4),0) - IF(ISNA(VLOOKUP("11.1.1",A2:W103,3,FALSE)),0,ROUND(VLOOKUP("11.1.1",A2:W103,3,FALSE),4)))</f>
      </c>
      <c r="D62" s="16">
        <f>=((IF(ISNUMBER(VLOOKUP("1.1",A2:W103,4,FALSE)),ROUND(VLOOKUP("1.1",A2:W103,4,FALSE),4),0) - IF(ISNUMBER(VLOOKUP("9.1.1",A2:W103,4,FALSE)),ROUND(VLOOKUP("9.1.1",A2:W103,4,FALSE),4),0) - IF(ISNA(VLOOKUP("11.1.1",A2:W103,4,FALSE)),0,ROUND(VLOOKUP("11.1.1",A2:W103,4,FALSE),4))) - (IF(ISNUMBER(VLOOKUP("2.1",A2:W103,4,FALSE)),ROUND(VLOOKUP("2.1",A2:W103,4,FALSE),4),0) - IF(ISNUMBER(VLOOKUP("9.3.1",A2:W103,4,FALSE)),ROUND(VLOOKUP("9.3.1",A2:W103,4,FALSE),4),0) - IF(ISNUMBER(VLOOKUP("10.7.2.1.1",A2:W103,4,FALSE)),ROUND(VLOOKUP("10.7.2.1.1",A2:W103,4,FALSE),4),0) - IF(ISNUMBER(VLOOKUP("2.1.3",A2:W103,4,FALSE)),ROUND(VLOOKUP("2.1.3",A2:W103,4,FALSE),4),0) - IF(ISNA(VLOOKUP("10.11",A2:W103,4,FALSE)),0,ROUND(VLOOKUP("10.11",A2:W103,4,FALSE),4)))) / (IF(ISNUMBER(VLOOKUP("1.1",A2:W103,4,FALSE)),ROUND(VLOOKUP("1.1",A2:W103,4,FALSE),4),0) - IF(ISNUMBER(VLOOKUP("1.1.4",A2:W103,4,FALSE)),ROUND(VLOOKUP("1.1.4",A2:W103,4,FALSE),4),0) - IF(ISNA(VLOOKUP("11.1.1",A2:W103,4,FALSE)),0,ROUND(VLOOKUP("11.1.1",A2:W103,4,FALSE),4)))</f>
      </c>
      <c r="E62" s="16">
        <f>=((IF(ISNUMBER(VLOOKUP("1.1",A2:W103,5,FALSE)),ROUND(VLOOKUP("1.1",A2:W103,5,FALSE),4),0) - IF(ISNUMBER(VLOOKUP("9.1.1",A2:W103,5,FALSE)),ROUND(VLOOKUP("9.1.1",A2:W103,5,FALSE),4),0) - IF(ISNA(VLOOKUP("11.1.1",A2:W103,5,FALSE)),0,ROUND(VLOOKUP("11.1.1",A2:W103,5,FALSE),4))) - (IF(ISNUMBER(VLOOKUP("2.1",A2:W103,5,FALSE)),ROUND(VLOOKUP("2.1",A2:W103,5,FALSE),4),0) - IF(ISNUMBER(VLOOKUP("9.3.1",A2:W103,5,FALSE)),ROUND(VLOOKUP("9.3.1",A2:W103,5,FALSE),4),0) - IF(ISNUMBER(VLOOKUP("10.7.2.1.1",A2:W103,5,FALSE)),ROUND(VLOOKUP("10.7.2.1.1",A2:W103,5,FALSE),4),0) - IF(ISNUMBER(VLOOKUP("2.1.3",A2:W103,5,FALSE)),ROUND(VLOOKUP("2.1.3",A2:W103,5,FALSE),4),0) - IF(ISNA(VLOOKUP("10.11",A2:W103,5,FALSE)),0,ROUND(VLOOKUP("10.11",A2:W103,5,FALSE),4)))) / (IF(ISNUMBER(VLOOKUP("1.1",A2:W103,5,FALSE)),ROUND(VLOOKUP("1.1",A2:W103,5,FALSE),4),0) - IF(ISNUMBER(VLOOKUP("1.1.4",A2:W103,5,FALSE)),ROUND(VLOOKUP("1.1.4",A2:W103,5,FALSE),4),0) - IF(ISNA(VLOOKUP("11.1.1",A2:W103,5,FALSE)),0,ROUND(VLOOKUP("11.1.1",A2:W103,5,FALSE),4)))</f>
      </c>
      <c r="F62" s="16">
        <f>=((IF(ISNUMBER(VLOOKUP("1.1",A2:W103,6,FALSE)),ROUND(VLOOKUP("1.1",A2:W103,6,FALSE),4),0) - IF(ISNUMBER(VLOOKUP("9.1.1",A2:W103,6,FALSE)),ROUND(VLOOKUP("9.1.1",A2:W103,6,FALSE),4),0) - IF(ISNA(VLOOKUP("11.1.1",A2:W103,6,FALSE)),0,ROUND(VLOOKUP("11.1.1",A2:W103,6,FALSE),4))) - (IF(ISNUMBER(VLOOKUP("2.1",A2:W103,6,FALSE)),ROUND(VLOOKUP("2.1",A2:W103,6,FALSE),4),0) - IF(ISNUMBER(VLOOKUP("9.3.1",A2:W103,6,FALSE)),ROUND(VLOOKUP("9.3.1",A2:W103,6,FALSE),4),0) - IF(ISNUMBER(VLOOKUP("10.7.2.1.1",A2:W103,6,FALSE)),ROUND(VLOOKUP("10.7.2.1.1",A2:W103,6,FALSE),4),0) - IF(ISNUMBER(VLOOKUP("2.1.3",A2:W103,6,FALSE)),ROUND(VLOOKUP("2.1.3",A2:W103,6,FALSE),4),0) - IF(ISNA(VLOOKUP("10.11",A2:W103,6,FALSE)),0,ROUND(VLOOKUP("10.11",A2:W103,6,FALSE),4)))) / (IF(ISNUMBER(VLOOKUP("1.1",A2:W103,6,FALSE)),ROUND(VLOOKUP("1.1",A2:W103,6,FALSE),4),0) - IF(ISNUMBER(VLOOKUP("1.1.4",A2:W103,6,FALSE)),ROUND(VLOOKUP("1.1.4",A2:W103,6,FALSE),4),0) - IF(ISNA(VLOOKUP("11.1.1",A2:W103,6,FALSE)),0,ROUND(VLOOKUP("11.1.1",A2:W103,6,FALSE),4)))</f>
      </c>
      <c r="G62" s="16">
        <f>=((IF(ISNUMBER(VLOOKUP("1.1",A2:W103,7,FALSE)),ROUND(VLOOKUP("1.1",A2:W103,7,FALSE),4),0) - IF(ISNUMBER(VLOOKUP("9.1.1",A2:W103,7,FALSE)),ROUND(VLOOKUP("9.1.1",A2:W103,7,FALSE),4),0) - IF(ISNA(VLOOKUP("11.1.1",A2:W103,7,FALSE)),0,ROUND(VLOOKUP("11.1.1",A2:W103,7,FALSE),4))) - (IF(ISNUMBER(VLOOKUP("2.1",A2:W103,7,FALSE)),ROUND(VLOOKUP("2.1",A2:W103,7,FALSE),4),0) - IF(ISNUMBER(VLOOKUP("9.3.1",A2:W103,7,FALSE)),ROUND(VLOOKUP("9.3.1",A2:W103,7,FALSE),4),0) - IF(ISNUMBER(VLOOKUP("10.7.2.1.1",A2:W103,7,FALSE)),ROUND(VLOOKUP("10.7.2.1.1",A2:W103,7,FALSE),4),0) - IF(ISNUMBER(VLOOKUP("2.1.3",A2:W103,7,FALSE)),ROUND(VLOOKUP("2.1.3",A2:W103,7,FALSE),4),0) - IF(ISNA(VLOOKUP("10.11",A2:W103,7,FALSE)),0,ROUND(VLOOKUP("10.11",A2:W103,7,FALSE),4)))) / (IF(ISNUMBER(VLOOKUP("1.1",A2:W103,7,FALSE)),ROUND(VLOOKUP("1.1",A2:W103,7,FALSE),4),0) - IF(ISNUMBER(VLOOKUP("1.1.4",A2:W103,7,FALSE)),ROUND(VLOOKUP("1.1.4",A2:W103,7,FALSE),4),0) - IF(ISNA(VLOOKUP("11.1.1",A2:W103,7,FALSE)),0,ROUND(VLOOKUP("11.1.1",A2:W103,7,FALSE),4)))</f>
      </c>
      <c r="H62" s="16">
        <f>=((IF(ISNUMBER(VLOOKUP("1.1",A2:W103,8,FALSE)),ROUND(VLOOKUP("1.1",A2:W103,8,FALSE),4),0) - IF(ISNUMBER(VLOOKUP("9.1.1",A2:W103,8,FALSE)),ROUND(VLOOKUP("9.1.1",A2:W103,8,FALSE),4),0) - IF(ISNA(VLOOKUP("11.1.1",A2:W103,8,FALSE)),0,ROUND(VLOOKUP("11.1.1",A2:W103,8,FALSE),4))) - (IF(ISNUMBER(VLOOKUP("2.1",A2:W103,8,FALSE)),ROUND(VLOOKUP("2.1",A2:W103,8,FALSE),4),0) - IF(ISNUMBER(VLOOKUP("9.3.1",A2:W103,8,FALSE)),ROUND(VLOOKUP("9.3.1",A2:W103,8,FALSE),4),0) - IF(ISNUMBER(VLOOKUP("10.7.2.1.1",A2:W103,8,FALSE)),ROUND(VLOOKUP("10.7.2.1.1",A2:W103,8,FALSE),4),0) - IF(ISNUMBER(VLOOKUP("2.1.3",A2:W103,8,FALSE)),ROUND(VLOOKUP("2.1.3",A2:W103,8,FALSE),4),0) - IF(ISNA(VLOOKUP("10.11",A2:W103,8,FALSE)),0,ROUND(VLOOKUP("10.11",A2:W103,8,FALSE),4)))) / (IF(ISNUMBER(VLOOKUP("1.1",A2:W103,8,FALSE)),ROUND(VLOOKUP("1.1",A2:W103,8,FALSE),4),0) - IF(ISNUMBER(VLOOKUP("1.1.4",A2:W103,8,FALSE)),ROUND(VLOOKUP("1.1.4",A2:W103,8,FALSE),4),0) - IF(ISNA(VLOOKUP("11.1.1",A2:W103,8,FALSE)),0,ROUND(VLOOKUP("11.1.1",A2:W103,8,FALSE),4)))</f>
      </c>
      <c r="I62" s="16">
        <f>=((IF(ISNUMBER(VLOOKUP("1.1",A2:W103,9,FALSE)),ROUND(VLOOKUP("1.1",A2:W103,9,FALSE),4),0) - IF(ISNUMBER(VLOOKUP("9.1.1",A2:W103,9,FALSE)),ROUND(VLOOKUP("9.1.1",A2:W103,9,FALSE),4),0) - IF(ISNA(VLOOKUP("11.1.1",A2:W103,9,FALSE)),0,ROUND(VLOOKUP("11.1.1",A2:W103,9,FALSE),4))) - (IF(ISNUMBER(VLOOKUP("2.1",A2:W103,9,FALSE)),ROUND(VLOOKUP("2.1",A2:W103,9,FALSE),4),0) - IF(ISNUMBER(VLOOKUP("9.3.1",A2:W103,9,FALSE)),ROUND(VLOOKUP("9.3.1",A2:W103,9,FALSE),4),0) - IF(ISNUMBER(VLOOKUP("10.7.2.1.1",A2:W103,9,FALSE)),ROUND(VLOOKUP("10.7.2.1.1",A2:W103,9,FALSE),4),0) - IF(ISNUMBER(VLOOKUP("2.1.3",A2:W103,9,FALSE)),ROUND(VLOOKUP("2.1.3",A2:W103,9,FALSE),4),0) - IF(ISNA(VLOOKUP("10.11",A2:W103,9,FALSE)),0,ROUND(VLOOKUP("10.11",A2:W103,9,FALSE),4)))) / (IF(ISNUMBER(VLOOKUP("1.1",A2:W103,9,FALSE)),ROUND(VLOOKUP("1.1",A2:W103,9,FALSE),4),0) - IF(ISNUMBER(VLOOKUP("1.1.4",A2:W103,9,FALSE)),ROUND(VLOOKUP("1.1.4",A2:W103,9,FALSE),4),0) - IF(ISNA(VLOOKUP("11.1.1",A2:W103,9,FALSE)),0,ROUND(VLOOKUP("11.1.1",A2:W103,9,FALSE),4)))</f>
      </c>
      <c r="J62" s="16">
        <f>=((IF(ISNUMBER(VLOOKUP("1.1",A2:W103,10,FALSE)),ROUND(VLOOKUP("1.1",A2:W103,10,FALSE),4),0) - IF(ISNUMBER(VLOOKUP("9.1.1",A2:W103,10,FALSE)),ROUND(VLOOKUP("9.1.1",A2:W103,10,FALSE),4),0) - IF(ISNA(VLOOKUP("11.1.1",A2:W103,10,FALSE)),0,ROUND(VLOOKUP("11.1.1",A2:W103,10,FALSE),4))) - (IF(ISNUMBER(VLOOKUP("2.1",A2:W103,10,FALSE)),ROUND(VLOOKUP("2.1",A2:W103,10,FALSE),4),0) - IF(ISNUMBER(VLOOKUP("9.3.1",A2:W103,10,FALSE)),ROUND(VLOOKUP("9.3.1",A2:W103,10,FALSE),4),0) - IF(ISNUMBER(VLOOKUP("10.7.2.1.1",A2:W103,10,FALSE)),ROUND(VLOOKUP("10.7.2.1.1",A2:W103,10,FALSE),4),0) - IF(ISNUMBER(VLOOKUP("2.1.3",A2:W103,10,FALSE)),ROUND(VLOOKUP("2.1.3",A2:W103,10,FALSE),4),0) - IF(ISNA(VLOOKUP("10.11",A2:W103,10,FALSE)),0,ROUND(VLOOKUP("10.11",A2:W103,10,FALSE),4)))) / (IF(ISNUMBER(VLOOKUP("1.1",A2:W103,10,FALSE)),ROUND(VLOOKUP("1.1",A2:W103,10,FALSE),4),0) - IF(ISNUMBER(VLOOKUP("1.1.4",A2:W103,10,FALSE)),ROUND(VLOOKUP("1.1.4",A2:W103,10,FALSE),4),0) - IF(ISNA(VLOOKUP("11.1.1",A2:W103,10,FALSE)),0,ROUND(VLOOKUP("11.1.1",A2:W103,10,FALSE),4)))</f>
      </c>
      <c r="K62" s="17">
        <f>=((IF(ISNUMBER(VLOOKUP("1.1",A2:W103,11,FALSE)),ROUND(VLOOKUP("1.1",A2:W103,11,FALSE),4),0) - IF(ISNUMBER(VLOOKUP("9.1.1",A2:W103,11,FALSE)),ROUND(VLOOKUP("9.1.1",A2:W103,11,FALSE),4),0) - IF(ISNA(VLOOKUP("11.1.1",A2:W103,11,FALSE)),0,ROUND(VLOOKUP("11.1.1",A2:W103,11,FALSE),4))) - (IF(ISNUMBER(VLOOKUP("2.1",A2:W103,11,FALSE)),ROUND(VLOOKUP("2.1",A2:W103,11,FALSE),4),0) - IF(ISNUMBER(VLOOKUP("9.3.1",A2:W103,11,FALSE)),ROUND(VLOOKUP("9.3.1",A2:W103,11,FALSE),4),0) - IF(ISNUMBER(VLOOKUP("10.7.2.1.1",A2:W103,11,FALSE)),ROUND(VLOOKUP("10.7.2.1.1",A2:W103,11,FALSE),4),0) - IF(ISNUMBER(VLOOKUP("2.1.3",A2:W103,11,FALSE)),ROUND(VLOOKUP("2.1.3",A2:W103,11,FALSE),4),0) - IF(ISNA(VLOOKUP("10.11",A2:W103,11,FALSE)),0,ROUND(VLOOKUP("10.11",A2:W103,11,FALSE),4)))) / (IF(ISNUMBER(VLOOKUP("1.1",A2:W103,11,FALSE)),ROUND(VLOOKUP("1.1",A2:W103,11,FALSE),4),0) - IF(ISNUMBER(VLOOKUP("1.1.4",A2:W103,11,FALSE)),ROUND(VLOOKUP("1.1.4",A2:W103,11,FALSE),4),0) - IF(ISNA(VLOOKUP("11.1.1",A2:W103,11,FALSE)),0,ROUND(VLOOKUP("11.1.1",A2:W103,11,FALSE),4)))</f>
      </c>
      <c r="L62" s="17">
        <f>=((IF(ISNUMBER(VLOOKUP("1.1",A2:W103,12,FALSE)),ROUND(VLOOKUP("1.1",A2:W103,12,FALSE),4),0) - IF(ISNUMBER(VLOOKUP("9.1.1",A2:W103,12,FALSE)),ROUND(VLOOKUP("9.1.1",A2:W103,12,FALSE),4),0) - IF(ISNA(VLOOKUP("11.1.1",A2:W103,12,FALSE)),0,ROUND(VLOOKUP("11.1.1",A2:W103,12,FALSE),4))) - (IF(ISNUMBER(VLOOKUP("2.1",A2:W103,12,FALSE)),ROUND(VLOOKUP("2.1",A2:W103,12,FALSE),4),0) - IF(ISNUMBER(VLOOKUP("9.3.1",A2:W103,12,FALSE)),ROUND(VLOOKUP("9.3.1",A2:W103,12,FALSE),4),0) - IF(ISNUMBER(VLOOKUP("10.7.2.1.1",A2:W103,12,FALSE)),ROUND(VLOOKUP("10.7.2.1.1",A2:W103,12,FALSE),4),0) - IF(ISNUMBER(VLOOKUP("2.1.3",A2:W103,12,FALSE)),ROUND(VLOOKUP("2.1.3",A2:W103,12,FALSE),4),0) - IF(ISNA(VLOOKUP("10.11",A2:W103,12,FALSE)),0,ROUND(VLOOKUP("10.11",A2:W103,12,FALSE),4)))) / (IF(ISNUMBER(VLOOKUP("1.1",A2:W103,12,FALSE)),ROUND(VLOOKUP("1.1",A2:W103,12,FALSE),4),0) - IF(ISNUMBER(VLOOKUP("1.1.4",A2:W103,12,FALSE)),ROUND(VLOOKUP("1.1.4",A2:W103,12,FALSE),4),0) - IF(ISNA(VLOOKUP("11.1.1",A2:W103,12,FALSE)),0,ROUND(VLOOKUP("11.1.1",A2:W103,12,FALSE),4)))</f>
      </c>
      <c r="M62" s="17">
        <f>=((IF(ISNUMBER(VLOOKUP("1.1",A2:W103,13,FALSE)),ROUND(VLOOKUP("1.1",A2:W103,13,FALSE),4),0) - IF(ISNUMBER(VLOOKUP("9.1.1",A2:W103,13,FALSE)),ROUND(VLOOKUP("9.1.1",A2:W103,13,FALSE),4),0) - IF(ISNA(VLOOKUP("11.1.1",A2:W103,13,FALSE)),0,ROUND(VLOOKUP("11.1.1",A2:W103,13,FALSE),4))) - (IF(ISNUMBER(VLOOKUP("2.1",A2:W103,13,FALSE)),ROUND(VLOOKUP("2.1",A2:W103,13,FALSE),4),0) - IF(ISNUMBER(VLOOKUP("9.3.1",A2:W103,13,FALSE)),ROUND(VLOOKUP("9.3.1",A2:W103,13,FALSE),4),0) - IF(ISNUMBER(VLOOKUP("10.7.2.1.1",A2:W103,13,FALSE)),ROUND(VLOOKUP("10.7.2.1.1",A2:W103,13,FALSE),4),0) - IF(ISNUMBER(VLOOKUP("2.1.3",A2:W103,13,FALSE)),ROUND(VLOOKUP("2.1.3",A2:W103,13,FALSE),4),0) - IF(ISNA(VLOOKUP("10.11",A2:W103,13,FALSE)),0,ROUND(VLOOKUP("10.11",A2:W103,13,FALSE),4)))) / (IF(ISNUMBER(VLOOKUP("1.1",A2:W103,13,FALSE)),ROUND(VLOOKUP("1.1",A2:W103,13,FALSE),4),0) - IF(ISNUMBER(VLOOKUP("1.1.4",A2:W103,13,FALSE)),ROUND(VLOOKUP("1.1.4",A2:W103,13,FALSE),4),0) - IF(ISNA(VLOOKUP("11.1.1",A2:W103,13,FALSE)),0,ROUND(VLOOKUP("11.1.1",A2:W103,13,FALSE),4)))</f>
      </c>
      <c r="N62" s="17">
        <f>=((IF(ISNUMBER(VLOOKUP("1.1",A2:W103,14,FALSE)),ROUND(VLOOKUP("1.1",A2:W103,14,FALSE),4),0) - IF(ISNUMBER(VLOOKUP("9.1.1",A2:W103,14,FALSE)),ROUND(VLOOKUP("9.1.1",A2:W103,14,FALSE),4),0) - IF(ISNA(VLOOKUP("11.1.1",A2:W103,14,FALSE)),0,ROUND(VLOOKUP("11.1.1",A2:W103,14,FALSE),4))) - (IF(ISNUMBER(VLOOKUP("2.1",A2:W103,14,FALSE)),ROUND(VLOOKUP("2.1",A2:W103,14,FALSE),4),0) - IF(ISNUMBER(VLOOKUP("9.3.1",A2:W103,14,FALSE)),ROUND(VLOOKUP("9.3.1",A2:W103,14,FALSE),4),0) - IF(ISNUMBER(VLOOKUP("10.7.2.1.1",A2:W103,14,FALSE)),ROUND(VLOOKUP("10.7.2.1.1",A2:W103,14,FALSE),4),0) - IF(ISNUMBER(VLOOKUP("2.1.3",A2:W103,14,FALSE)),ROUND(VLOOKUP("2.1.3",A2:W103,14,FALSE),4),0) - IF(ISNA(VLOOKUP("10.11",A2:W103,14,FALSE)),0,ROUND(VLOOKUP("10.11",A2:W103,14,FALSE),4)))) / (IF(ISNUMBER(VLOOKUP("1.1",A2:W103,14,FALSE)),ROUND(VLOOKUP("1.1",A2:W103,14,FALSE),4),0) - IF(ISNUMBER(VLOOKUP("1.1.4",A2:W103,14,FALSE)),ROUND(VLOOKUP("1.1.4",A2:W103,14,FALSE),4),0) - IF(ISNA(VLOOKUP("11.1.1",A2:W103,14,FALSE)),0,ROUND(VLOOKUP("11.1.1",A2:W103,14,FALSE),4)))</f>
      </c>
      <c r="O62" s="17">
        <f>=((IF(ISNUMBER(VLOOKUP("1.1",A2:W103,15,FALSE)),ROUND(VLOOKUP("1.1",A2:W103,15,FALSE),4),0) - IF(ISNUMBER(VLOOKUP("9.1.1",A2:W103,15,FALSE)),ROUND(VLOOKUP("9.1.1",A2:W103,15,FALSE),4),0) - IF(ISNA(VLOOKUP("11.1.1",A2:W103,15,FALSE)),0,ROUND(VLOOKUP("11.1.1",A2:W103,15,FALSE),4))) - (IF(ISNUMBER(VLOOKUP("2.1",A2:W103,15,FALSE)),ROUND(VLOOKUP("2.1",A2:W103,15,FALSE),4),0) - IF(ISNUMBER(VLOOKUP("9.3.1",A2:W103,15,FALSE)),ROUND(VLOOKUP("9.3.1",A2:W103,15,FALSE),4),0) - IF(ISNUMBER(VLOOKUP("10.7.2.1.1",A2:W103,15,FALSE)),ROUND(VLOOKUP("10.7.2.1.1",A2:W103,15,FALSE),4),0) - IF(ISNUMBER(VLOOKUP("2.1.3",A2:W103,15,FALSE)),ROUND(VLOOKUP("2.1.3",A2:W103,15,FALSE),4),0) - IF(ISNA(VLOOKUP("10.11",A2:W103,15,FALSE)),0,ROUND(VLOOKUP("10.11",A2:W103,15,FALSE),4)))) / (IF(ISNUMBER(VLOOKUP("1.1",A2:W103,15,FALSE)),ROUND(VLOOKUP("1.1",A2:W103,15,FALSE),4),0) - IF(ISNUMBER(VLOOKUP("1.1.4",A2:W103,15,FALSE)),ROUND(VLOOKUP("1.1.4",A2:W103,15,FALSE),4),0) - IF(ISNA(VLOOKUP("11.1.1",A2:W103,15,FALSE)),0,ROUND(VLOOKUP("11.1.1",A2:W103,15,FALSE),4)))</f>
      </c>
      <c r="P62" s="17">
        <f>=((IF(ISNUMBER(VLOOKUP("1.1",A2:W103,16,FALSE)),ROUND(VLOOKUP("1.1",A2:W103,16,FALSE),4),0) - IF(ISNUMBER(VLOOKUP("9.1.1",A2:W103,16,FALSE)),ROUND(VLOOKUP("9.1.1",A2:W103,16,FALSE),4),0) - IF(ISNA(VLOOKUP("11.1.1",A2:W103,16,FALSE)),0,ROUND(VLOOKUP("11.1.1",A2:W103,16,FALSE),4))) - (IF(ISNUMBER(VLOOKUP("2.1",A2:W103,16,FALSE)),ROUND(VLOOKUP("2.1",A2:W103,16,FALSE),4),0) - IF(ISNUMBER(VLOOKUP("9.3.1",A2:W103,16,FALSE)),ROUND(VLOOKUP("9.3.1",A2:W103,16,FALSE),4),0) - IF(ISNUMBER(VLOOKUP("10.7.2.1.1",A2:W103,16,FALSE)),ROUND(VLOOKUP("10.7.2.1.1",A2:W103,16,FALSE),4),0) - IF(ISNUMBER(VLOOKUP("2.1.3",A2:W103,16,FALSE)),ROUND(VLOOKUP("2.1.3",A2:W103,16,FALSE),4),0) - IF(ISNA(VLOOKUP("10.11",A2:W103,16,FALSE)),0,ROUND(VLOOKUP("10.11",A2:W103,16,FALSE),4)))) / (IF(ISNUMBER(VLOOKUP("1.1",A2:W103,16,FALSE)),ROUND(VLOOKUP("1.1",A2:W103,16,FALSE),4),0) - IF(ISNUMBER(VLOOKUP("1.1.4",A2:W103,16,FALSE)),ROUND(VLOOKUP("1.1.4",A2:W103,16,FALSE),4),0) - IF(ISNA(VLOOKUP("11.1.1",A2:W103,16,FALSE)),0,ROUND(VLOOKUP("11.1.1",A2:W103,16,FALSE),4)))</f>
      </c>
      <c r="Q62" s="17">
        <f>=((IF(ISNUMBER(VLOOKUP("1.1",A2:W103,17,FALSE)),ROUND(VLOOKUP("1.1",A2:W103,17,FALSE),4),0) - IF(ISNUMBER(VLOOKUP("9.1.1",A2:W103,17,FALSE)),ROUND(VLOOKUP("9.1.1",A2:W103,17,FALSE),4),0) - IF(ISNA(VLOOKUP("11.1.1",A2:W103,17,FALSE)),0,ROUND(VLOOKUP("11.1.1",A2:W103,17,FALSE),4))) - (IF(ISNUMBER(VLOOKUP("2.1",A2:W103,17,FALSE)),ROUND(VLOOKUP("2.1",A2:W103,17,FALSE),4),0) - IF(ISNUMBER(VLOOKUP("9.3.1",A2:W103,17,FALSE)),ROUND(VLOOKUP("9.3.1",A2:W103,17,FALSE),4),0) - IF(ISNUMBER(VLOOKUP("10.7.2.1.1",A2:W103,17,FALSE)),ROUND(VLOOKUP("10.7.2.1.1",A2:W103,17,FALSE),4),0) - IF(ISNUMBER(VLOOKUP("2.1.3",A2:W103,17,FALSE)),ROUND(VLOOKUP("2.1.3",A2:W103,17,FALSE),4),0) - IF(ISNA(VLOOKUP("10.11",A2:W103,17,FALSE)),0,ROUND(VLOOKUP("10.11",A2:W103,17,FALSE),4)))) / (IF(ISNUMBER(VLOOKUP("1.1",A2:W103,17,FALSE)),ROUND(VLOOKUP("1.1",A2:W103,17,FALSE),4),0) - IF(ISNUMBER(VLOOKUP("1.1.4",A2:W103,17,FALSE)),ROUND(VLOOKUP("1.1.4",A2:W103,17,FALSE),4),0) - IF(ISNA(VLOOKUP("11.1.1",A2:W103,17,FALSE)),0,ROUND(VLOOKUP("11.1.1",A2:W103,17,FALSE),4)))</f>
      </c>
      <c r="R62" s="17">
        <f>=((IF(ISNUMBER(VLOOKUP("1.1",A2:W103,18,FALSE)),ROUND(VLOOKUP("1.1",A2:W103,18,FALSE),4),0) - IF(ISNUMBER(VLOOKUP("9.1.1",A2:W103,18,FALSE)),ROUND(VLOOKUP("9.1.1",A2:W103,18,FALSE),4),0) - IF(ISNA(VLOOKUP("11.1.1",A2:W103,18,FALSE)),0,ROUND(VLOOKUP("11.1.1",A2:W103,18,FALSE),4))) - (IF(ISNUMBER(VLOOKUP("2.1",A2:W103,18,FALSE)),ROUND(VLOOKUP("2.1",A2:W103,18,FALSE),4),0) - IF(ISNUMBER(VLOOKUP("9.3.1",A2:W103,18,FALSE)),ROUND(VLOOKUP("9.3.1",A2:W103,18,FALSE),4),0) - IF(ISNUMBER(VLOOKUP("10.7.2.1.1",A2:W103,18,FALSE)),ROUND(VLOOKUP("10.7.2.1.1",A2:W103,18,FALSE),4),0) - IF(ISNUMBER(VLOOKUP("2.1.3",A2:W103,18,FALSE)),ROUND(VLOOKUP("2.1.3",A2:W103,18,FALSE),4),0) - IF(ISNA(VLOOKUP("10.11",A2:W103,18,FALSE)),0,ROUND(VLOOKUP("10.11",A2:W103,18,FALSE),4)))) / (IF(ISNUMBER(VLOOKUP("1.1",A2:W103,18,FALSE)),ROUND(VLOOKUP("1.1",A2:W103,18,FALSE),4),0) - IF(ISNUMBER(VLOOKUP("1.1.4",A2:W103,18,FALSE)),ROUND(VLOOKUP("1.1.4",A2:W103,18,FALSE),4),0) - IF(ISNA(VLOOKUP("11.1.1",A2:W103,18,FALSE)),0,ROUND(VLOOKUP("11.1.1",A2:W103,18,FALSE),4)))</f>
      </c>
      <c r="S62" s="17">
        <f>=((IF(ISNUMBER(VLOOKUP("1.1",A2:W103,19,FALSE)),ROUND(VLOOKUP("1.1",A2:W103,19,FALSE),4),0) - IF(ISNUMBER(VLOOKUP("9.1.1",A2:W103,19,FALSE)),ROUND(VLOOKUP("9.1.1",A2:W103,19,FALSE),4),0) - IF(ISNA(VLOOKUP("11.1.1",A2:W103,19,FALSE)),0,ROUND(VLOOKUP("11.1.1",A2:W103,19,FALSE),4))) - (IF(ISNUMBER(VLOOKUP("2.1",A2:W103,19,FALSE)),ROUND(VLOOKUP("2.1",A2:W103,19,FALSE),4),0) - IF(ISNUMBER(VLOOKUP("9.3.1",A2:W103,19,FALSE)),ROUND(VLOOKUP("9.3.1",A2:W103,19,FALSE),4),0) - IF(ISNUMBER(VLOOKUP("10.7.2.1.1",A2:W103,19,FALSE)),ROUND(VLOOKUP("10.7.2.1.1",A2:W103,19,FALSE),4),0) - IF(ISNUMBER(VLOOKUP("2.1.3",A2:W103,19,FALSE)),ROUND(VLOOKUP("2.1.3",A2:W103,19,FALSE),4),0) - IF(ISNA(VLOOKUP("10.11",A2:W103,19,FALSE)),0,ROUND(VLOOKUP("10.11",A2:W103,19,FALSE),4)))) / (IF(ISNUMBER(VLOOKUP("1.1",A2:W103,19,FALSE)),ROUND(VLOOKUP("1.1",A2:W103,19,FALSE),4),0) - IF(ISNUMBER(VLOOKUP("1.1.4",A2:W103,19,FALSE)),ROUND(VLOOKUP("1.1.4",A2:W103,19,FALSE),4),0) - IF(ISNA(VLOOKUP("11.1.1",A2:W103,19,FALSE)),0,ROUND(VLOOKUP("11.1.1",A2:W103,19,FALSE),4)))</f>
      </c>
      <c r="T62" s="17">
        <f>=((IF(ISNUMBER(VLOOKUP("1.1",A2:W103,20,FALSE)),ROUND(VLOOKUP("1.1",A2:W103,20,FALSE),4),0) - IF(ISNUMBER(VLOOKUP("9.1.1",A2:W103,20,FALSE)),ROUND(VLOOKUP("9.1.1",A2:W103,20,FALSE),4),0) - IF(ISNA(VLOOKUP("11.1.1",A2:W103,20,FALSE)),0,ROUND(VLOOKUP("11.1.1",A2:W103,20,FALSE),4))) - (IF(ISNUMBER(VLOOKUP("2.1",A2:W103,20,FALSE)),ROUND(VLOOKUP("2.1",A2:W103,20,FALSE),4),0) - IF(ISNUMBER(VLOOKUP("9.3.1",A2:W103,20,FALSE)),ROUND(VLOOKUP("9.3.1",A2:W103,20,FALSE),4),0) - IF(ISNUMBER(VLOOKUP("10.7.2.1.1",A2:W103,20,FALSE)),ROUND(VLOOKUP("10.7.2.1.1",A2:W103,20,FALSE),4),0) - IF(ISNUMBER(VLOOKUP("2.1.3",A2:W103,20,FALSE)),ROUND(VLOOKUP("2.1.3",A2:W103,20,FALSE),4),0) - IF(ISNA(VLOOKUP("10.11",A2:W103,20,FALSE)),0,ROUND(VLOOKUP("10.11",A2:W103,20,FALSE),4)))) / (IF(ISNUMBER(VLOOKUP("1.1",A2:W103,20,FALSE)),ROUND(VLOOKUP("1.1",A2:W103,20,FALSE),4),0) - IF(ISNUMBER(VLOOKUP("1.1.4",A2:W103,20,FALSE)),ROUND(VLOOKUP("1.1.4",A2:W103,20,FALSE),4),0) - IF(ISNA(VLOOKUP("11.1.1",A2:W103,20,FALSE)),0,ROUND(VLOOKUP("11.1.1",A2:W103,20,FALSE),4)))</f>
      </c>
      <c r="U62" s="17">
        <f>=((IF(ISNUMBER(VLOOKUP("1.1",A2:W103,21,FALSE)),ROUND(VLOOKUP("1.1",A2:W103,21,FALSE),4),0) - IF(ISNUMBER(VLOOKUP("9.1.1",A2:W103,21,FALSE)),ROUND(VLOOKUP("9.1.1",A2:W103,21,FALSE),4),0) - IF(ISNA(VLOOKUP("11.1.1",A2:W103,21,FALSE)),0,ROUND(VLOOKUP("11.1.1",A2:W103,21,FALSE),4))) - (IF(ISNUMBER(VLOOKUP("2.1",A2:W103,21,FALSE)),ROUND(VLOOKUP("2.1",A2:W103,21,FALSE),4),0) - IF(ISNUMBER(VLOOKUP("9.3.1",A2:W103,21,FALSE)),ROUND(VLOOKUP("9.3.1",A2:W103,21,FALSE),4),0) - IF(ISNUMBER(VLOOKUP("10.7.2.1.1",A2:W103,21,FALSE)),ROUND(VLOOKUP("10.7.2.1.1",A2:W103,21,FALSE),4),0) - IF(ISNUMBER(VLOOKUP("2.1.3",A2:W103,21,FALSE)),ROUND(VLOOKUP("2.1.3",A2:W103,21,FALSE),4),0) - IF(ISNA(VLOOKUP("10.11",A2:W103,21,FALSE)),0,ROUND(VLOOKUP("10.11",A2:W103,21,FALSE),4)))) / (IF(ISNUMBER(VLOOKUP("1.1",A2:W103,21,FALSE)),ROUND(VLOOKUP("1.1",A2:W103,21,FALSE),4),0) - IF(ISNUMBER(VLOOKUP("1.1.4",A2:W103,21,FALSE)),ROUND(VLOOKUP("1.1.4",A2:W103,21,FALSE),4),0) - IF(ISNA(VLOOKUP("11.1.1",A2:W103,21,FALSE)),0,ROUND(VLOOKUP("11.1.1",A2:W103,21,FALSE),4)))</f>
      </c>
      <c r="V62" s="17">
        <f>=((IF(ISNUMBER(VLOOKUP("1.1",A2:W103,22,FALSE)),ROUND(VLOOKUP("1.1",A2:W103,22,FALSE),4),0) - IF(ISNUMBER(VLOOKUP("9.1.1",A2:W103,22,FALSE)),ROUND(VLOOKUP("9.1.1",A2:W103,22,FALSE),4),0) - IF(ISNA(VLOOKUP("11.1.1",A2:W103,22,FALSE)),0,ROUND(VLOOKUP("11.1.1",A2:W103,22,FALSE),4))) - (IF(ISNUMBER(VLOOKUP("2.1",A2:W103,22,FALSE)),ROUND(VLOOKUP("2.1",A2:W103,22,FALSE),4),0) - IF(ISNUMBER(VLOOKUP("9.3.1",A2:W103,22,FALSE)),ROUND(VLOOKUP("9.3.1",A2:W103,22,FALSE),4),0) - IF(ISNUMBER(VLOOKUP("10.7.2.1.1",A2:W103,22,FALSE)),ROUND(VLOOKUP("10.7.2.1.1",A2:W103,22,FALSE),4),0) - IF(ISNUMBER(VLOOKUP("2.1.3",A2:W103,22,FALSE)),ROUND(VLOOKUP("2.1.3",A2:W103,22,FALSE),4),0) - IF(ISNA(VLOOKUP("10.11",A2:W103,22,FALSE)),0,ROUND(VLOOKUP("10.11",A2:W103,22,FALSE),4)))) / (IF(ISNUMBER(VLOOKUP("1.1",A2:W103,22,FALSE)),ROUND(VLOOKUP("1.1",A2:W103,22,FALSE),4),0) - IF(ISNUMBER(VLOOKUP("1.1.4",A2:W103,22,FALSE)),ROUND(VLOOKUP("1.1.4",A2:W103,22,FALSE),4),0) - IF(ISNA(VLOOKUP("11.1.1",A2:W103,22,FALSE)),0,ROUND(VLOOKUP("11.1.1",A2:W103,22,FALSE),4)))</f>
      </c>
      <c r="W62" s="17">
        <f>=((IF(ISNUMBER(VLOOKUP("1.1",A2:W103,23,FALSE)),ROUND(VLOOKUP("1.1",A2:W103,23,FALSE),4),0) - IF(ISNUMBER(VLOOKUP("9.1.1",A2:W103,23,FALSE)),ROUND(VLOOKUP("9.1.1",A2:W103,23,FALSE),4),0) - IF(ISNA(VLOOKUP("11.1.1",A2:W103,23,FALSE)),0,ROUND(VLOOKUP("11.1.1",A2:W103,23,FALSE),4))) - (IF(ISNUMBER(VLOOKUP("2.1",A2:W103,23,FALSE)),ROUND(VLOOKUP("2.1",A2:W103,23,FALSE),4),0) - IF(ISNUMBER(VLOOKUP("9.3.1",A2:W103,23,FALSE)),ROUND(VLOOKUP("9.3.1",A2:W103,23,FALSE),4),0) - IF(ISNUMBER(VLOOKUP("10.7.2.1.1",A2:W103,23,FALSE)),ROUND(VLOOKUP("10.7.2.1.1",A2:W103,23,FALSE),4),0) - IF(ISNUMBER(VLOOKUP("2.1.3",A2:W103,23,FALSE)),ROUND(VLOOKUP("2.1.3",A2:W103,23,FALSE),4),0) - IF(ISNA(VLOOKUP("10.11",A2:W103,23,FALSE)),0,ROUND(VLOOKUP("10.11",A2:W103,23,FALSE),4)))) / (IF(ISNUMBER(VLOOKUP("1.1",A2:W103,23,FALSE)),ROUND(VLOOKUP("1.1",A2:W103,23,FALSE),4),0) - IF(ISNUMBER(VLOOKUP("1.1.4",A2:W103,23,FALSE)),ROUND(VLOOKUP("1.1.4",A2:W103,23,FALSE),4),0) - IF(ISNA(VLOOKUP("11.1.1",A2:W103,23,FALSE)),0,ROUND(VLOOKUP("11.1.1",A2:W103,23,FALSE),4)))</f>
      </c>
    </row>
    <row r="63" ht="0" hidden="1">
      <c r="A63" s="14" t="s">
        <v>139</v>
      </c>
      <c r="B63" s="15" t="s">
        <v>140</v>
      </c>
      <c r="C63" s="16">
        <f>=((IF(ISNUMBER(VLOOKUP("1.1",A2:W103,3,FALSE)),ROUND(VLOOKUP("1.1",A2:W103,3,FALSE),4),0) - IF(ISNUMBER(VLOOKUP("9.1.1",A2:W103,3,FALSE)),ROUND(VLOOKUP("9.1.1",A2:W103,3,FALSE),4),0) - IF(ISNA(VLOOKUP("11.1.1",A2:W103,3,FALSE)),0,ROUND(VLOOKUP("11.1.1",A2:W103,3,FALSE),4))) + IF(ISNUMBER(VLOOKUP("1.2.1",A2:W103,3,FALSE)),ROUND(VLOOKUP("1.2.1",A2:W103,3,FALSE),4),0) - (IF(ISNUMBER(VLOOKUP("2.1",A2:W103,3,FALSE)),ROUND(VLOOKUP("2.1",A2:W103,3,FALSE),4),0) - IF(ISNUMBER(VLOOKUP("9.3.1",A2:W103,3,FALSE)),ROUND(VLOOKUP("9.3.1",A2:W103,3,FALSE),4),0) - IF(ISNUMBER(VLOOKUP("10.7.2.1.1",A2:W103,3,FALSE)),ROUND(VLOOKUP("10.7.2.1.1",A2:W103,3,FALSE),4),0) - IF(ISNUMBER(VLOOKUP("2.1.3",A2:W103,3,FALSE)),ROUND(VLOOKUP("2.1.3",A2:W103,3,FALSE),4),0) - IF(ISNA(VLOOKUP("10.11",A2:W103,3,FALSE)),0,ROUND(VLOOKUP("10.11",A2:W103,3,FALSE),4)))) / (IF(ISNUMBER(VLOOKUP("1.1",A2:W103,3,FALSE)),ROUND(VLOOKUP("1.1",A2:W103,3,FALSE),4),0) - IF(ISNUMBER(VLOOKUP("1.1.4",A2:W103,3,FALSE)),ROUND(VLOOKUP("1.1.4",A2:W103,3,FALSE),4),0) - IF(ISNA(VLOOKUP("11.1.1",A2:W103,3,FALSE)),0,ROUND(VLOOKUP("11.1.1",A2:W103,3,FALSE),4)))</f>
      </c>
      <c r="D63" s="16">
        <f>=((IF(ISNUMBER(VLOOKUP("1.1",A2:W103,4,FALSE)),ROUND(VLOOKUP("1.1",A2:W103,4,FALSE),4),0) - IF(ISNUMBER(VLOOKUP("9.1.1",A2:W103,4,FALSE)),ROUND(VLOOKUP("9.1.1",A2:W103,4,FALSE),4),0) - IF(ISNA(VLOOKUP("11.1.1",A2:W103,4,FALSE)),0,ROUND(VLOOKUP("11.1.1",A2:W103,4,FALSE),4))) + IF(ISNUMBER(VLOOKUP("1.2.1",A2:W103,4,FALSE)),ROUND(VLOOKUP("1.2.1",A2:W103,4,FALSE),4),0) - (IF(ISNUMBER(VLOOKUP("2.1",A2:W103,4,FALSE)),ROUND(VLOOKUP("2.1",A2:W103,4,FALSE),4),0) - IF(ISNUMBER(VLOOKUP("9.3.1",A2:W103,4,FALSE)),ROUND(VLOOKUP("9.3.1",A2:W103,4,FALSE),4),0) - IF(ISNUMBER(VLOOKUP("10.7.2.1.1",A2:W103,4,FALSE)),ROUND(VLOOKUP("10.7.2.1.1",A2:W103,4,FALSE),4),0) - IF(ISNUMBER(VLOOKUP("2.1.3",A2:W103,4,FALSE)),ROUND(VLOOKUP("2.1.3",A2:W103,4,FALSE),4),0) - IF(ISNA(VLOOKUP("10.11",A2:W103,4,FALSE)),0,ROUND(VLOOKUP("10.11",A2:W103,4,FALSE),4)))) / (IF(ISNUMBER(VLOOKUP("1.1",A2:W103,4,FALSE)),ROUND(VLOOKUP("1.1",A2:W103,4,FALSE),4),0) - IF(ISNUMBER(VLOOKUP("1.1.4",A2:W103,4,FALSE)),ROUND(VLOOKUP("1.1.4",A2:W103,4,FALSE),4),0) - IF(ISNA(VLOOKUP("11.1.1",A2:W103,4,FALSE)),0,ROUND(VLOOKUP("11.1.1",A2:W103,4,FALSE),4)))</f>
      </c>
      <c r="E63" s="16">
        <f>=((IF(ISNUMBER(VLOOKUP("1.1",A2:W103,5,FALSE)),ROUND(VLOOKUP("1.1",A2:W103,5,FALSE),4),0) - IF(ISNUMBER(VLOOKUP("9.1.1",A2:W103,5,FALSE)),ROUND(VLOOKUP("9.1.1",A2:W103,5,FALSE),4),0) - IF(ISNA(VLOOKUP("11.1.1",A2:W103,5,FALSE)),0,ROUND(VLOOKUP("11.1.1",A2:W103,5,FALSE),4))) + IF(ISNUMBER(VLOOKUP("1.2.1",A2:W103,5,FALSE)),ROUND(VLOOKUP("1.2.1",A2:W103,5,FALSE),4),0) - (IF(ISNUMBER(VLOOKUP("2.1",A2:W103,5,FALSE)),ROUND(VLOOKUP("2.1",A2:W103,5,FALSE),4),0) - IF(ISNUMBER(VLOOKUP("9.3.1",A2:W103,5,FALSE)),ROUND(VLOOKUP("9.3.1",A2:W103,5,FALSE),4),0) - IF(ISNUMBER(VLOOKUP("10.7.2.1.1",A2:W103,5,FALSE)),ROUND(VLOOKUP("10.7.2.1.1",A2:W103,5,FALSE),4),0) - IF(ISNUMBER(VLOOKUP("2.1.3",A2:W103,5,FALSE)),ROUND(VLOOKUP("2.1.3",A2:W103,5,FALSE),4),0) - IF(ISNA(VLOOKUP("10.11",A2:W103,5,FALSE)),0,ROUND(VLOOKUP("10.11",A2:W103,5,FALSE),4)))) / (IF(ISNUMBER(VLOOKUP("1.1",A2:W103,5,FALSE)),ROUND(VLOOKUP("1.1",A2:W103,5,FALSE),4),0) - IF(ISNUMBER(VLOOKUP("1.1.4",A2:W103,5,FALSE)),ROUND(VLOOKUP("1.1.4",A2:W103,5,FALSE),4),0) - IF(ISNA(VLOOKUP("11.1.1",A2:W103,5,FALSE)),0,ROUND(VLOOKUP("11.1.1",A2:W103,5,FALSE),4)))</f>
      </c>
      <c r="F63" s="16">
        <f>=((IF(ISNUMBER(VLOOKUP("1.1",A2:W103,6,FALSE)),ROUND(VLOOKUP("1.1",A2:W103,6,FALSE),4),0) - IF(ISNUMBER(VLOOKUP("9.1.1",A2:W103,6,FALSE)),ROUND(VLOOKUP("9.1.1",A2:W103,6,FALSE),4),0) - IF(ISNA(VLOOKUP("11.1.1",A2:W103,6,FALSE)),0,ROUND(VLOOKUP("11.1.1",A2:W103,6,FALSE),4))) + IF(ISNUMBER(VLOOKUP("1.2.1",A2:W103,6,FALSE)),ROUND(VLOOKUP("1.2.1",A2:W103,6,FALSE),4),0) - (IF(ISNUMBER(VLOOKUP("2.1",A2:W103,6,FALSE)),ROUND(VLOOKUP("2.1",A2:W103,6,FALSE),4),0) - IF(ISNUMBER(VLOOKUP("9.3.1",A2:W103,6,FALSE)),ROUND(VLOOKUP("9.3.1",A2:W103,6,FALSE),4),0) - IF(ISNUMBER(VLOOKUP("10.7.2.1.1",A2:W103,6,FALSE)),ROUND(VLOOKUP("10.7.2.1.1",A2:W103,6,FALSE),4),0) - IF(ISNUMBER(VLOOKUP("2.1.3",A2:W103,6,FALSE)),ROUND(VLOOKUP("2.1.3",A2:W103,6,FALSE),4),0) - IF(ISNA(VLOOKUP("10.11",A2:W103,6,FALSE)),0,ROUND(VLOOKUP("10.11",A2:W103,6,FALSE),4)))) / (IF(ISNUMBER(VLOOKUP("1.1",A2:W103,6,FALSE)),ROUND(VLOOKUP("1.1",A2:W103,6,FALSE),4),0) - IF(ISNUMBER(VLOOKUP("1.1.4",A2:W103,6,FALSE)),ROUND(VLOOKUP("1.1.4",A2:W103,6,FALSE),4),0) - IF(ISNA(VLOOKUP("11.1.1",A2:W103,6,FALSE)),0,ROUND(VLOOKUP("11.1.1",A2:W103,6,FALSE),4)))</f>
      </c>
      <c r="G63" s="16">
        <f>=((IF(ISNUMBER(VLOOKUP("1.1",A2:W103,7,FALSE)),ROUND(VLOOKUP("1.1",A2:W103,7,FALSE),4),0) - IF(ISNUMBER(VLOOKUP("9.1.1",A2:W103,7,FALSE)),ROUND(VLOOKUP("9.1.1",A2:W103,7,FALSE),4),0) - IF(ISNA(VLOOKUP("11.1.1",A2:W103,7,FALSE)),0,ROUND(VLOOKUP("11.1.1",A2:W103,7,FALSE),4))) + IF(ISNUMBER(VLOOKUP("1.2.1",A2:W103,7,FALSE)),ROUND(VLOOKUP("1.2.1",A2:W103,7,FALSE),4),0) - (IF(ISNUMBER(VLOOKUP("2.1",A2:W103,7,FALSE)),ROUND(VLOOKUP("2.1",A2:W103,7,FALSE),4),0) - IF(ISNUMBER(VLOOKUP("9.3.1",A2:W103,7,FALSE)),ROUND(VLOOKUP("9.3.1",A2:W103,7,FALSE),4),0) - IF(ISNUMBER(VLOOKUP("10.7.2.1.1",A2:W103,7,FALSE)),ROUND(VLOOKUP("10.7.2.1.1",A2:W103,7,FALSE),4),0) - IF(ISNUMBER(VLOOKUP("2.1.3",A2:W103,7,FALSE)),ROUND(VLOOKUP("2.1.3",A2:W103,7,FALSE),4),0) - IF(ISNA(VLOOKUP("10.11",A2:W103,7,FALSE)),0,ROUND(VLOOKUP("10.11",A2:W103,7,FALSE),4)))) / (IF(ISNUMBER(VLOOKUP("1.1",A2:W103,7,FALSE)),ROUND(VLOOKUP("1.1",A2:W103,7,FALSE),4),0) - IF(ISNUMBER(VLOOKUP("1.1.4",A2:W103,7,FALSE)),ROUND(VLOOKUP("1.1.4",A2:W103,7,FALSE),4),0) - IF(ISNA(VLOOKUP("11.1.1",A2:W103,7,FALSE)),0,ROUND(VLOOKUP("11.1.1",A2:W103,7,FALSE),4)))</f>
      </c>
      <c r="H63" s="16">
        <f>=((IF(ISNUMBER(VLOOKUP("1.1",A2:W103,8,FALSE)),ROUND(VLOOKUP("1.1",A2:W103,8,FALSE),4),0) - IF(ISNUMBER(VLOOKUP("9.1.1",A2:W103,8,FALSE)),ROUND(VLOOKUP("9.1.1",A2:W103,8,FALSE),4),0) - IF(ISNA(VLOOKUP("11.1.1",A2:W103,8,FALSE)),0,ROUND(VLOOKUP("11.1.1",A2:W103,8,FALSE),4))) + IF(ISNUMBER(VLOOKUP("1.2.1",A2:W103,8,FALSE)),ROUND(VLOOKUP("1.2.1",A2:W103,8,FALSE),4),0) - (IF(ISNUMBER(VLOOKUP("2.1",A2:W103,8,FALSE)),ROUND(VLOOKUP("2.1",A2:W103,8,FALSE),4),0) - IF(ISNUMBER(VLOOKUP("9.3.1",A2:W103,8,FALSE)),ROUND(VLOOKUP("9.3.1",A2:W103,8,FALSE),4),0) - IF(ISNUMBER(VLOOKUP("10.7.2.1.1",A2:W103,8,FALSE)),ROUND(VLOOKUP("10.7.2.1.1",A2:W103,8,FALSE),4),0) - IF(ISNUMBER(VLOOKUP("2.1.3",A2:W103,8,FALSE)),ROUND(VLOOKUP("2.1.3",A2:W103,8,FALSE),4),0) - IF(ISNA(VLOOKUP("10.11",A2:W103,8,FALSE)),0,ROUND(VLOOKUP("10.11",A2:W103,8,FALSE),4)))) / (IF(ISNUMBER(VLOOKUP("1.1",A2:W103,8,FALSE)),ROUND(VLOOKUP("1.1",A2:W103,8,FALSE),4),0) - IF(ISNUMBER(VLOOKUP("1.1.4",A2:W103,8,FALSE)),ROUND(VLOOKUP("1.1.4",A2:W103,8,FALSE),4),0) - IF(ISNA(VLOOKUP("11.1.1",A2:W103,8,FALSE)),0,ROUND(VLOOKUP("11.1.1",A2:W103,8,FALSE),4)))</f>
      </c>
      <c r="I63" s="16">
        <f>=((IF(ISNUMBER(VLOOKUP("1.1",A2:W103,9,FALSE)),ROUND(VLOOKUP("1.1",A2:W103,9,FALSE),4),0) - IF(ISNUMBER(VLOOKUP("9.1.1",A2:W103,9,FALSE)),ROUND(VLOOKUP("9.1.1",A2:W103,9,FALSE),4),0) - IF(ISNA(VLOOKUP("11.1.1",A2:W103,9,FALSE)),0,ROUND(VLOOKUP("11.1.1",A2:W103,9,FALSE),4))) + IF(ISNUMBER(VLOOKUP("1.2.1",A2:W103,9,FALSE)),ROUND(VLOOKUP("1.2.1",A2:W103,9,FALSE),4),0) - (IF(ISNUMBER(VLOOKUP("2.1",A2:W103,9,FALSE)),ROUND(VLOOKUP("2.1",A2:W103,9,FALSE),4),0) - IF(ISNUMBER(VLOOKUP("9.3.1",A2:W103,9,FALSE)),ROUND(VLOOKUP("9.3.1",A2:W103,9,FALSE),4),0) - IF(ISNUMBER(VLOOKUP("10.7.2.1.1",A2:W103,9,FALSE)),ROUND(VLOOKUP("10.7.2.1.1",A2:W103,9,FALSE),4),0) - IF(ISNUMBER(VLOOKUP("2.1.3",A2:W103,9,FALSE)),ROUND(VLOOKUP("2.1.3",A2:W103,9,FALSE),4),0) - IF(ISNA(VLOOKUP("10.11",A2:W103,9,FALSE)),0,ROUND(VLOOKUP("10.11",A2:W103,9,FALSE),4)))) / (IF(ISNUMBER(VLOOKUP("1.1",A2:W103,9,FALSE)),ROUND(VLOOKUP("1.1",A2:W103,9,FALSE),4),0) - IF(ISNUMBER(VLOOKUP("1.1.4",A2:W103,9,FALSE)),ROUND(VLOOKUP("1.1.4",A2:W103,9,FALSE),4),0) - IF(ISNA(VLOOKUP("11.1.1",A2:W103,9,FALSE)),0,ROUND(VLOOKUP("11.1.1",A2:W103,9,FALSE),4)))</f>
      </c>
      <c r="J63" s="16">
        <f>=((IF(ISNUMBER(VLOOKUP("1.1",A2:W103,10,FALSE)),ROUND(VLOOKUP("1.1",A2:W103,10,FALSE),4),0) - IF(ISNUMBER(VLOOKUP("9.1.1",A2:W103,10,FALSE)),ROUND(VLOOKUP("9.1.1",A2:W103,10,FALSE),4),0) - IF(ISNA(VLOOKUP("11.1.1",A2:W103,10,FALSE)),0,ROUND(VLOOKUP("11.1.1",A2:W103,10,FALSE),4))) + IF(ISNUMBER(VLOOKUP("1.2.1",A2:W103,10,FALSE)),ROUND(VLOOKUP("1.2.1",A2:W103,10,FALSE),4),0) - (IF(ISNUMBER(VLOOKUP("2.1",A2:W103,10,FALSE)),ROUND(VLOOKUP("2.1",A2:W103,10,FALSE),4),0) - IF(ISNUMBER(VLOOKUP("9.3.1",A2:W103,10,FALSE)),ROUND(VLOOKUP("9.3.1",A2:W103,10,FALSE),4),0) - IF(ISNUMBER(VLOOKUP("10.7.2.1.1",A2:W103,10,FALSE)),ROUND(VLOOKUP("10.7.2.1.1",A2:W103,10,FALSE),4),0) - IF(ISNUMBER(VLOOKUP("2.1.3",A2:W103,10,FALSE)),ROUND(VLOOKUP("2.1.3",A2:W103,10,FALSE),4),0) - IF(ISNA(VLOOKUP("10.11",A2:W103,10,FALSE)),0,ROUND(VLOOKUP("10.11",A2:W103,10,FALSE),4)))) / (IF(ISNUMBER(VLOOKUP("1.1",A2:W103,10,FALSE)),ROUND(VLOOKUP("1.1",A2:W103,10,FALSE),4),0) - IF(ISNUMBER(VLOOKUP("1.1.4",A2:W103,10,FALSE)),ROUND(VLOOKUP("1.1.4",A2:W103,10,FALSE),4),0) - IF(ISNA(VLOOKUP("11.1.1",A2:W103,10,FALSE)),0,ROUND(VLOOKUP("11.1.1",A2:W103,10,FALSE),4)))</f>
      </c>
      <c r="K63" s="17">
        <f>=((IF(ISNUMBER(VLOOKUP("1.1",A2:W103,11,FALSE)),ROUND(VLOOKUP("1.1",A2:W103,11,FALSE),4),0) - IF(ISNUMBER(VLOOKUP("9.1.1",A2:W103,11,FALSE)),ROUND(VLOOKUP("9.1.1",A2:W103,11,FALSE),4),0) - IF(ISNA(VLOOKUP("11.1.1",A2:W103,11,FALSE)),0,ROUND(VLOOKUP("11.1.1",A2:W103,11,FALSE),4))) + IF(ISNUMBER(VLOOKUP("1.2.1",A2:W103,11,FALSE)),ROUND(VLOOKUP("1.2.1",A2:W103,11,FALSE),4),0) - (IF(ISNUMBER(VLOOKUP("2.1",A2:W103,11,FALSE)),ROUND(VLOOKUP("2.1",A2:W103,11,FALSE),4),0) - IF(ISNUMBER(VLOOKUP("9.3.1",A2:W103,11,FALSE)),ROUND(VLOOKUP("9.3.1",A2:W103,11,FALSE),4),0) - IF(ISNUMBER(VLOOKUP("10.7.2.1.1",A2:W103,11,FALSE)),ROUND(VLOOKUP("10.7.2.1.1",A2:W103,11,FALSE),4),0) - IF(ISNUMBER(VLOOKUP("2.1.3",A2:W103,11,FALSE)),ROUND(VLOOKUP("2.1.3",A2:W103,11,FALSE),4),0) - IF(ISNA(VLOOKUP("10.11",A2:W103,11,FALSE)),0,ROUND(VLOOKUP("10.11",A2:W103,11,FALSE),4)))) / (IF(ISNUMBER(VLOOKUP("1.1",A2:W103,11,FALSE)),ROUND(VLOOKUP("1.1",A2:W103,11,FALSE),4),0) - IF(ISNUMBER(VLOOKUP("1.1.4",A2:W103,11,FALSE)),ROUND(VLOOKUP("1.1.4",A2:W103,11,FALSE),4),0) - IF(ISNA(VLOOKUP("11.1.1",A2:W103,11,FALSE)),0,ROUND(VLOOKUP("11.1.1",A2:W103,11,FALSE),4)))</f>
      </c>
      <c r="L63" s="17">
        <f>=((IF(ISNUMBER(VLOOKUP("1.1",A2:W103,12,FALSE)),ROUND(VLOOKUP("1.1",A2:W103,12,FALSE),4),0) - IF(ISNUMBER(VLOOKUP("9.1.1",A2:W103,12,FALSE)),ROUND(VLOOKUP("9.1.1",A2:W103,12,FALSE),4),0) - IF(ISNA(VLOOKUP("11.1.1",A2:W103,12,FALSE)),0,ROUND(VLOOKUP("11.1.1",A2:W103,12,FALSE),4))) + IF(ISNUMBER(VLOOKUP("1.2.1",A2:W103,12,FALSE)),ROUND(VLOOKUP("1.2.1",A2:W103,12,FALSE),4),0) - (IF(ISNUMBER(VLOOKUP("2.1",A2:W103,12,FALSE)),ROUND(VLOOKUP("2.1",A2:W103,12,FALSE),4),0) - IF(ISNUMBER(VLOOKUP("9.3.1",A2:W103,12,FALSE)),ROUND(VLOOKUP("9.3.1",A2:W103,12,FALSE),4),0) - IF(ISNUMBER(VLOOKUP("10.7.2.1.1",A2:W103,12,FALSE)),ROUND(VLOOKUP("10.7.2.1.1",A2:W103,12,FALSE),4),0) - IF(ISNUMBER(VLOOKUP("2.1.3",A2:W103,12,FALSE)),ROUND(VLOOKUP("2.1.3",A2:W103,12,FALSE),4),0) - IF(ISNA(VLOOKUP("10.11",A2:W103,12,FALSE)),0,ROUND(VLOOKUP("10.11",A2:W103,12,FALSE),4)))) / (IF(ISNUMBER(VLOOKUP("1.1",A2:W103,12,FALSE)),ROUND(VLOOKUP("1.1",A2:W103,12,FALSE),4),0) - IF(ISNUMBER(VLOOKUP("1.1.4",A2:W103,12,FALSE)),ROUND(VLOOKUP("1.1.4",A2:W103,12,FALSE),4),0) - IF(ISNA(VLOOKUP("11.1.1",A2:W103,12,FALSE)),0,ROUND(VLOOKUP("11.1.1",A2:W103,12,FALSE),4)))</f>
      </c>
      <c r="M63" s="17">
        <f>=((IF(ISNUMBER(VLOOKUP("1.1",A2:W103,13,FALSE)),ROUND(VLOOKUP("1.1",A2:W103,13,FALSE),4),0) - IF(ISNUMBER(VLOOKUP("9.1.1",A2:W103,13,FALSE)),ROUND(VLOOKUP("9.1.1",A2:W103,13,FALSE),4),0) - IF(ISNA(VLOOKUP("11.1.1",A2:W103,13,FALSE)),0,ROUND(VLOOKUP("11.1.1",A2:W103,13,FALSE),4))) + IF(ISNUMBER(VLOOKUP("1.2.1",A2:W103,13,FALSE)),ROUND(VLOOKUP("1.2.1",A2:W103,13,FALSE),4),0) - (IF(ISNUMBER(VLOOKUP("2.1",A2:W103,13,FALSE)),ROUND(VLOOKUP("2.1",A2:W103,13,FALSE),4),0) - IF(ISNUMBER(VLOOKUP("9.3.1",A2:W103,13,FALSE)),ROUND(VLOOKUP("9.3.1",A2:W103,13,FALSE),4),0) - IF(ISNUMBER(VLOOKUP("10.7.2.1.1",A2:W103,13,FALSE)),ROUND(VLOOKUP("10.7.2.1.1",A2:W103,13,FALSE),4),0) - IF(ISNUMBER(VLOOKUP("2.1.3",A2:W103,13,FALSE)),ROUND(VLOOKUP("2.1.3",A2:W103,13,FALSE),4),0) - IF(ISNA(VLOOKUP("10.11",A2:W103,13,FALSE)),0,ROUND(VLOOKUP("10.11",A2:W103,13,FALSE),4)))) / (IF(ISNUMBER(VLOOKUP("1.1",A2:W103,13,FALSE)),ROUND(VLOOKUP("1.1",A2:W103,13,FALSE),4),0) - IF(ISNUMBER(VLOOKUP("1.1.4",A2:W103,13,FALSE)),ROUND(VLOOKUP("1.1.4",A2:W103,13,FALSE),4),0) - IF(ISNA(VLOOKUP("11.1.1",A2:W103,13,FALSE)),0,ROUND(VLOOKUP("11.1.1",A2:W103,13,FALSE),4)))</f>
      </c>
      <c r="N63" s="17">
        <f>=((IF(ISNUMBER(VLOOKUP("1.1",A2:W103,14,FALSE)),ROUND(VLOOKUP("1.1",A2:W103,14,FALSE),4),0) - IF(ISNUMBER(VLOOKUP("9.1.1",A2:W103,14,FALSE)),ROUND(VLOOKUP("9.1.1",A2:W103,14,FALSE),4),0) - IF(ISNA(VLOOKUP("11.1.1",A2:W103,14,FALSE)),0,ROUND(VLOOKUP("11.1.1",A2:W103,14,FALSE),4))) + IF(ISNUMBER(VLOOKUP("1.2.1",A2:W103,14,FALSE)),ROUND(VLOOKUP("1.2.1",A2:W103,14,FALSE),4),0) - (IF(ISNUMBER(VLOOKUP("2.1",A2:W103,14,FALSE)),ROUND(VLOOKUP("2.1",A2:W103,14,FALSE),4),0) - IF(ISNUMBER(VLOOKUP("9.3.1",A2:W103,14,FALSE)),ROUND(VLOOKUP("9.3.1",A2:W103,14,FALSE),4),0) - IF(ISNUMBER(VLOOKUP("10.7.2.1.1",A2:W103,14,FALSE)),ROUND(VLOOKUP("10.7.2.1.1",A2:W103,14,FALSE),4),0) - IF(ISNUMBER(VLOOKUP("2.1.3",A2:W103,14,FALSE)),ROUND(VLOOKUP("2.1.3",A2:W103,14,FALSE),4),0) - IF(ISNA(VLOOKUP("10.11",A2:W103,14,FALSE)),0,ROUND(VLOOKUP("10.11",A2:W103,14,FALSE),4)))) / (IF(ISNUMBER(VLOOKUP("1.1",A2:W103,14,FALSE)),ROUND(VLOOKUP("1.1",A2:W103,14,FALSE),4),0) - IF(ISNUMBER(VLOOKUP("1.1.4",A2:W103,14,FALSE)),ROUND(VLOOKUP("1.1.4",A2:W103,14,FALSE),4),0) - IF(ISNA(VLOOKUP("11.1.1",A2:W103,14,FALSE)),0,ROUND(VLOOKUP("11.1.1",A2:W103,14,FALSE),4)))</f>
      </c>
      <c r="O63" s="17">
        <f>=((IF(ISNUMBER(VLOOKUP("1.1",A2:W103,15,FALSE)),ROUND(VLOOKUP("1.1",A2:W103,15,FALSE),4),0) - IF(ISNUMBER(VLOOKUP("9.1.1",A2:W103,15,FALSE)),ROUND(VLOOKUP("9.1.1",A2:W103,15,FALSE),4),0) - IF(ISNA(VLOOKUP("11.1.1",A2:W103,15,FALSE)),0,ROUND(VLOOKUP("11.1.1",A2:W103,15,FALSE),4))) + IF(ISNUMBER(VLOOKUP("1.2.1",A2:W103,15,FALSE)),ROUND(VLOOKUP("1.2.1",A2:W103,15,FALSE),4),0) - (IF(ISNUMBER(VLOOKUP("2.1",A2:W103,15,FALSE)),ROUND(VLOOKUP("2.1",A2:W103,15,FALSE),4),0) - IF(ISNUMBER(VLOOKUP("9.3.1",A2:W103,15,FALSE)),ROUND(VLOOKUP("9.3.1",A2:W103,15,FALSE),4),0) - IF(ISNUMBER(VLOOKUP("10.7.2.1.1",A2:W103,15,FALSE)),ROUND(VLOOKUP("10.7.2.1.1",A2:W103,15,FALSE),4),0) - IF(ISNUMBER(VLOOKUP("2.1.3",A2:W103,15,FALSE)),ROUND(VLOOKUP("2.1.3",A2:W103,15,FALSE),4),0) - IF(ISNA(VLOOKUP("10.11",A2:W103,15,FALSE)),0,ROUND(VLOOKUP("10.11",A2:W103,15,FALSE),4)))) / (IF(ISNUMBER(VLOOKUP("1.1",A2:W103,15,FALSE)),ROUND(VLOOKUP("1.1",A2:W103,15,FALSE),4),0) - IF(ISNUMBER(VLOOKUP("1.1.4",A2:W103,15,FALSE)),ROUND(VLOOKUP("1.1.4",A2:W103,15,FALSE),4),0) - IF(ISNA(VLOOKUP("11.1.1",A2:W103,15,FALSE)),0,ROUND(VLOOKUP("11.1.1",A2:W103,15,FALSE),4)))</f>
      </c>
      <c r="P63" s="17">
        <f>=((IF(ISNUMBER(VLOOKUP("1.1",A2:W103,16,FALSE)),ROUND(VLOOKUP("1.1",A2:W103,16,FALSE),4),0) - IF(ISNUMBER(VLOOKUP("9.1.1",A2:W103,16,FALSE)),ROUND(VLOOKUP("9.1.1",A2:W103,16,FALSE),4),0) - IF(ISNA(VLOOKUP("11.1.1",A2:W103,16,FALSE)),0,ROUND(VLOOKUP("11.1.1",A2:W103,16,FALSE),4))) + IF(ISNUMBER(VLOOKUP("1.2.1",A2:W103,16,FALSE)),ROUND(VLOOKUP("1.2.1",A2:W103,16,FALSE),4),0) - (IF(ISNUMBER(VLOOKUP("2.1",A2:W103,16,FALSE)),ROUND(VLOOKUP("2.1",A2:W103,16,FALSE),4),0) - IF(ISNUMBER(VLOOKUP("9.3.1",A2:W103,16,FALSE)),ROUND(VLOOKUP("9.3.1",A2:W103,16,FALSE),4),0) - IF(ISNUMBER(VLOOKUP("10.7.2.1.1",A2:W103,16,FALSE)),ROUND(VLOOKUP("10.7.2.1.1",A2:W103,16,FALSE),4),0) - IF(ISNUMBER(VLOOKUP("2.1.3",A2:W103,16,FALSE)),ROUND(VLOOKUP("2.1.3",A2:W103,16,FALSE),4),0) - IF(ISNA(VLOOKUP("10.11",A2:W103,16,FALSE)),0,ROUND(VLOOKUP("10.11",A2:W103,16,FALSE),4)))) / (IF(ISNUMBER(VLOOKUP("1.1",A2:W103,16,FALSE)),ROUND(VLOOKUP("1.1",A2:W103,16,FALSE),4),0) - IF(ISNUMBER(VLOOKUP("1.1.4",A2:W103,16,FALSE)),ROUND(VLOOKUP("1.1.4",A2:W103,16,FALSE),4),0) - IF(ISNA(VLOOKUP("11.1.1",A2:W103,16,FALSE)),0,ROUND(VLOOKUP("11.1.1",A2:W103,16,FALSE),4)))</f>
      </c>
      <c r="Q63" s="17">
        <f>=((IF(ISNUMBER(VLOOKUP("1.1",A2:W103,17,FALSE)),ROUND(VLOOKUP("1.1",A2:W103,17,FALSE),4),0) - IF(ISNUMBER(VLOOKUP("9.1.1",A2:W103,17,FALSE)),ROUND(VLOOKUP("9.1.1",A2:W103,17,FALSE),4),0) - IF(ISNA(VLOOKUP("11.1.1",A2:W103,17,FALSE)),0,ROUND(VLOOKUP("11.1.1",A2:W103,17,FALSE),4))) + IF(ISNUMBER(VLOOKUP("1.2.1",A2:W103,17,FALSE)),ROUND(VLOOKUP("1.2.1",A2:W103,17,FALSE),4),0) - (IF(ISNUMBER(VLOOKUP("2.1",A2:W103,17,FALSE)),ROUND(VLOOKUP("2.1",A2:W103,17,FALSE),4),0) - IF(ISNUMBER(VLOOKUP("9.3.1",A2:W103,17,FALSE)),ROUND(VLOOKUP("9.3.1",A2:W103,17,FALSE),4),0) - IF(ISNUMBER(VLOOKUP("10.7.2.1.1",A2:W103,17,FALSE)),ROUND(VLOOKUP("10.7.2.1.1",A2:W103,17,FALSE),4),0) - IF(ISNUMBER(VLOOKUP("2.1.3",A2:W103,17,FALSE)),ROUND(VLOOKUP("2.1.3",A2:W103,17,FALSE),4),0) - IF(ISNA(VLOOKUP("10.11",A2:W103,17,FALSE)),0,ROUND(VLOOKUP("10.11",A2:W103,17,FALSE),4)))) / (IF(ISNUMBER(VLOOKUP("1.1",A2:W103,17,FALSE)),ROUND(VLOOKUP("1.1",A2:W103,17,FALSE),4),0) - IF(ISNUMBER(VLOOKUP("1.1.4",A2:W103,17,FALSE)),ROUND(VLOOKUP("1.1.4",A2:W103,17,FALSE),4),0) - IF(ISNA(VLOOKUP("11.1.1",A2:W103,17,FALSE)),0,ROUND(VLOOKUP("11.1.1",A2:W103,17,FALSE),4)))</f>
      </c>
      <c r="R63" s="17">
        <f>=((IF(ISNUMBER(VLOOKUP("1.1",A2:W103,18,FALSE)),ROUND(VLOOKUP("1.1",A2:W103,18,FALSE),4),0) - IF(ISNUMBER(VLOOKUP("9.1.1",A2:W103,18,FALSE)),ROUND(VLOOKUP("9.1.1",A2:W103,18,FALSE),4),0) - IF(ISNA(VLOOKUP("11.1.1",A2:W103,18,FALSE)),0,ROUND(VLOOKUP("11.1.1",A2:W103,18,FALSE),4))) + IF(ISNUMBER(VLOOKUP("1.2.1",A2:W103,18,FALSE)),ROUND(VLOOKUP("1.2.1",A2:W103,18,FALSE),4),0) - (IF(ISNUMBER(VLOOKUP("2.1",A2:W103,18,FALSE)),ROUND(VLOOKUP("2.1",A2:W103,18,FALSE),4),0) - IF(ISNUMBER(VLOOKUP("9.3.1",A2:W103,18,FALSE)),ROUND(VLOOKUP("9.3.1",A2:W103,18,FALSE),4),0) - IF(ISNUMBER(VLOOKUP("10.7.2.1.1",A2:W103,18,FALSE)),ROUND(VLOOKUP("10.7.2.1.1",A2:W103,18,FALSE),4),0) - IF(ISNUMBER(VLOOKUP("2.1.3",A2:W103,18,FALSE)),ROUND(VLOOKUP("2.1.3",A2:W103,18,FALSE),4),0) - IF(ISNA(VLOOKUP("10.11",A2:W103,18,FALSE)),0,ROUND(VLOOKUP("10.11",A2:W103,18,FALSE),4)))) / (IF(ISNUMBER(VLOOKUP("1.1",A2:W103,18,FALSE)),ROUND(VLOOKUP("1.1",A2:W103,18,FALSE),4),0) - IF(ISNUMBER(VLOOKUP("1.1.4",A2:W103,18,FALSE)),ROUND(VLOOKUP("1.1.4",A2:W103,18,FALSE),4),0) - IF(ISNA(VLOOKUP("11.1.1",A2:W103,18,FALSE)),0,ROUND(VLOOKUP("11.1.1",A2:W103,18,FALSE),4)))</f>
      </c>
      <c r="S63" s="17">
        <f>=((IF(ISNUMBER(VLOOKUP("1.1",A2:W103,19,FALSE)),ROUND(VLOOKUP("1.1",A2:W103,19,FALSE),4),0) - IF(ISNUMBER(VLOOKUP("9.1.1",A2:W103,19,FALSE)),ROUND(VLOOKUP("9.1.1",A2:W103,19,FALSE),4),0) - IF(ISNA(VLOOKUP("11.1.1",A2:W103,19,FALSE)),0,ROUND(VLOOKUP("11.1.1",A2:W103,19,FALSE),4))) + IF(ISNUMBER(VLOOKUP("1.2.1",A2:W103,19,FALSE)),ROUND(VLOOKUP("1.2.1",A2:W103,19,FALSE),4),0) - (IF(ISNUMBER(VLOOKUP("2.1",A2:W103,19,FALSE)),ROUND(VLOOKUP("2.1",A2:W103,19,FALSE),4),0) - IF(ISNUMBER(VLOOKUP("9.3.1",A2:W103,19,FALSE)),ROUND(VLOOKUP("9.3.1",A2:W103,19,FALSE),4),0) - IF(ISNUMBER(VLOOKUP("10.7.2.1.1",A2:W103,19,FALSE)),ROUND(VLOOKUP("10.7.2.1.1",A2:W103,19,FALSE),4),0) - IF(ISNUMBER(VLOOKUP("2.1.3",A2:W103,19,FALSE)),ROUND(VLOOKUP("2.1.3",A2:W103,19,FALSE),4),0) - IF(ISNA(VLOOKUP("10.11",A2:W103,19,FALSE)),0,ROUND(VLOOKUP("10.11",A2:W103,19,FALSE),4)))) / (IF(ISNUMBER(VLOOKUP("1.1",A2:W103,19,FALSE)),ROUND(VLOOKUP("1.1",A2:W103,19,FALSE),4),0) - IF(ISNUMBER(VLOOKUP("1.1.4",A2:W103,19,FALSE)),ROUND(VLOOKUP("1.1.4",A2:W103,19,FALSE),4),0) - IF(ISNA(VLOOKUP("11.1.1",A2:W103,19,FALSE)),0,ROUND(VLOOKUP("11.1.1",A2:W103,19,FALSE),4)))</f>
      </c>
      <c r="T63" s="17">
        <f>=((IF(ISNUMBER(VLOOKUP("1.1",A2:W103,20,FALSE)),ROUND(VLOOKUP("1.1",A2:W103,20,FALSE),4),0) - IF(ISNUMBER(VLOOKUP("9.1.1",A2:W103,20,FALSE)),ROUND(VLOOKUP("9.1.1",A2:W103,20,FALSE),4),0) - IF(ISNA(VLOOKUP("11.1.1",A2:W103,20,FALSE)),0,ROUND(VLOOKUP("11.1.1",A2:W103,20,FALSE),4))) + IF(ISNUMBER(VLOOKUP("1.2.1",A2:W103,20,FALSE)),ROUND(VLOOKUP("1.2.1",A2:W103,20,FALSE),4),0) - (IF(ISNUMBER(VLOOKUP("2.1",A2:W103,20,FALSE)),ROUND(VLOOKUP("2.1",A2:W103,20,FALSE),4),0) - IF(ISNUMBER(VLOOKUP("9.3.1",A2:W103,20,FALSE)),ROUND(VLOOKUP("9.3.1",A2:W103,20,FALSE),4),0) - IF(ISNUMBER(VLOOKUP("10.7.2.1.1",A2:W103,20,FALSE)),ROUND(VLOOKUP("10.7.2.1.1",A2:W103,20,FALSE),4),0) - IF(ISNUMBER(VLOOKUP("2.1.3",A2:W103,20,FALSE)),ROUND(VLOOKUP("2.1.3",A2:W103,20,FALSE),4),0) - IF(ISNA(VLOOKUP("10.11",A2:W103,20,FALSE)),0,ROUND(VLOOKUP("10.11",A2:W103,20,FALSE),4)))) / (IF(ISNUMBER(VLOOKUP("1.1",A2:W103,20,FALSE)),ROUND(VLOOKUP("1.1",A2:W103,20,FALSE),4),0) - IF(ISNUMBER(VLOOKUP("1.1.4",A2:W103,20,FALSE)),ROUND(VLOOKUP("1.1.4",A2:W103,20,FALSE),4),0) - IF(ISNA(VLOOKUP("11.1.1",A2:W103,20,FALSE)),0,ROUND(VLOOKUP("11.1.1",A2:W103,20,FALSE),4)))</f>
      </c>
      <c r="U63" s="17">
        <f>=((IF(ISNUMBER(VLOOKUP("1.1",A2:W103,21,FALSE)),ROUND(VLOOKUP("1.1",A2:W103,21,FALSE),4),0) - IF(ISNUMBER(VLOOKUP("9.1.1",A2:W103,21,FALSE)),ROUND(VLOOKUP("9.1.1",A2:W103,21,FALSE),4),0) - IF(ISNA(VLOOKUP("11.1.1",A2:W103,21,FALSE)),0,ROUND(VLOOKUP("11.1.1",A2:W103,21,FALSE),4))) + IF(ISNUMBER(VLOOKUP("1.2.1",A2:W103,21,FALSE)),ROUND(VLOOKUP("1.2.1",A2:W103,21,FALSE),4),0) - (IF(ISNUMBER(VLOOKUP("2.1",A2:W103,21,FALSE)),ROUND(VLOOKUP("2.1",A2:W103,21,FALSE),4),0) - IF(ISNUMBER(VLOOKUP("9.3.1",A2:W103,21,FALSE)),ROUND(VLOOKUP("9.3.1",A2:W103,21,FALSE),4),0) - IF(ISNUMBER(VLOOKUP("10.7.2.1.1",A2:W103,21,FALSE)),ROUND(VLOOKUP("10.7.2.1.1",A2:W103,21,FALSE),4),0) - IF(ISNUMBER(VLOOKUP("2.1.3",A2:W103,21,FALSE)),ROUND(VLOOKUP("2.1.3",A2:W103,21,FALSE),4),0) - IF(ISNA(VLOOKUP("10.11",A2:W103,21,FALSE)),0,ROUND(VLOOKUP("10.11",A2:W103,21,FALSE),4)))) / (IF(ISNUMBER(VLOOKUP("1.1",A2:W103,21,FALSE)),ROUND(VLOOKUP("1.1",A2:W103,21,FALSE),4),0) - IF(ISNUMBER(VLOOKUP("1.1.4",A2:W103,21,FALSE)),ROUND(VLOOKUP("1.1.4",A2:W103,21,FALSE),4),0) - IF(ISNA(VLOOKUP("11.1.1",A2:W103,21,FALSE)),0,ROUND(VLOOKUP("11.1.1",A2:W103,21,FALSE),4)))</f>
      </c>
      <c r="V63" s="17">
        <f>=((IF(ISNUMBER(VLOOKUP("1.1",A2:W103,22,FALSE)),ROUND(VLOOKUP("1.1",A2:W103,22,FALSE),4),0) - IF(ISNUMBER(VLOOKUP("9.1.1",A2:W103,22,FALSE)),ROUND(VLOOKUP("9.1.1",A2:W103,22,FALSE),4),0) - IF(ISNA(VLOOKUP("11.1.1",A2:W103,22,FALSE)),0,ROUND(VLOOKUP("11.1.1",A2:W103,22,FALSE),4))) + IF(ISNUMBER(VLOOKUP("1.2.1",A2:W103,22,FALSE)),ROUND(VLOOKUP("1.2.1",A2:W103,22,FALSE),4),0) - (IF(ISNUMBER(VLOOKUP("2.1",A2:W103,22,FALSE)),ROUND(VLOOKUP("2.1",A2:W103,22,FALSE),4),0) - IF(ISNUMBER(VLOOKUP("9.3.1",A2:W103,22,FALSE)),ROUND(VLOOKUP("9.3.1",A2:W103,22,FALSE),4),0) - IF(ISNUMBER(VLOOKUP("10.7.2.1.1",A2:W103,22,FALSE)),ROUND(VLOOKUP("10.7.2.1.1",A2:W103,22,FALSE),4),0) - IF(ISNUMBER(VLOOKUP("2.1.3",A2:W103,22,FALSE)),ROUND(VLOOKUP("2.1.3",A2:W103,22,FALSE),4),0) - IF(ISNA(VLOOKUP("10.11",A2:W103,22,FALSE)),0,ROUND(VLOOKUP("10.11",A2:W103,22,FALSE),4)))) / (IF(ISNUMBER(VLOOKUP("1.1",A2:W103,22,FALSE)),ROUND(VLOOKUP("1.1",A2:W103,22,FALSE),4),0) - IF(ISNUMBER(VLOOKUP("1.1.4",A2:W103,22,FALSE)),ROUND(VLOOKUP("1.1.4",A2:W103,22,FALSE),4),0) - IF(ISNA(VLOOKUP("11.1.1",A2:W103,22,FALSE)),0,ROUND(VLOOKUP("11.1.1",A2:W103,22,FALSE),4)))</f>
      </c>
      <c r="W63" s="17">
        <f>=((IF(ISNUMBER(VLOOKUP("1.1",A2:W103,23,FALSE)),ROUND(VLOOKUP("1.1",A2:W103,23,FALSE),4),0) - IF(ISNUMBER(VLOOKUP("9.1.1",A2:W103,23,FALSE)),ROUND(VLOOKUP("9.1.1",A2:W103,23,FALSE),4),0) - IF(ISNA(VLOOKUP("11.1.1",A2:W103,23,FALSE)),0,ROUND(VLOOKUP("11.1.1",A2:W103,23,FALSE),4))) + IF(ISNUMBER(VLOOKUP("1.2.1",A2:W103,23,FALSE)),ROUND(VLOOKUP("1.2.1",A2:W103,23,FALSE),4),0) - (IF(ISNUMBER(VLOOKUP("2.1",A2:W103,23,FALSE)),ROUND(VLOOKUP("2.1",A2:W103,23,FALSE),4),0) - IF(ISNUMBER(VLOOKUP("9.3.1",A2:W103,23,FALSE)),ROUND(VLOOKUP("9.3.1",A2:W103,23,FALSE),4),0) - IF(ISNUMBER(VLOOKUP("10.7.2.1.1",A2:W103,23,FALSE)),ROUND(VLOOKUP("10.7.2.1.1",A2:W103,23,FALSE),4),0) - IF(ISNUMBER(VLOOKUP("2.1.3",A2:W103,23,FALSE)),ROUND(VLOOKUP("2.1.3",A2:W103,23,FALSE),4),0) - IF(ISNA(VLOOKUP("10.11",A2:W103,23,FALSE)),0,ROUND(VLOOKUP("10.11",A2:W103,23,FALSE),4)))) / (IF(ISNUMBER(VLOOKUP("1.1",A2:W103,23,FALSE)),ROUND(VLOOKUP("1.1",A2:W103,23,FALSE),4),0) - IF(ISNUMBER(VLOOKUP("1.1.4",A2:W103,23,FALSE)),ROUND(VLOOKUP("1.1.4",A2:W103,23,FALSE),4),0) - IF(ISNA(VLOOKUP("11.1.1",A2:W103,23,FALSE)),0,ROUND(VLOOKUP("11.1.1",A2:W103,23,FALSE),4)))</f>
      </c>
    </row>
    <row r="64" ht="78.5833282470703" customHeight="1">
      <c r="A64" s="14" t="s">
        <v>141</v>
      </c>
      <c r="B64" s="15" t="s">
        <v>142</v>
      </c>
      <c r="C64" s="16">
        <f>=0.15</f>
      </c>
      <c r="D64" s="16">
        <f>=0.15</f>
      </c>
      <c r="E64" s="16">
        <f>=0.15</f>
      </c>
      <c r="F64" s="16">
        <f>=0.15</f>
      </c>
      <c r="G64" s="16">
        <f>=0.15</f>
      </c>
      <c r="H64" s="16">
        <f>=0.15</f>
      </c>
      <c r="I64" s="16">
        <f>=0.15</f>
      </c>
      <c r="J64" s="16">
        <f>=0.15</f>
      </c>
      <c r="K64" s="17">
        <f>=(IF(ISNUMBER(VLOOKUP("8.2.x",A2:W103,3,FALSE)),ROUND(VLOOKUP("8.2.x",A2:W103,3,FALSE),4),0)+IF(ISNUMBER(VLOOKUP("8.2.x",A2:W103,4,FALSE)),ROUND(VLOOKUP("8.2.x",A2:W103,4,FALSE),4),0)+IF(ISNUMBER(VLOOKUP("8.2.x",A2:W103,5,FALSE)),ROUND(VLOOKUP("8.2.x",A2:W103,5,FALSE),4),0)+IF(ISNUMBER(VLOOKUP("8.2.x",A2:W103,6,FALSE)),ROUND(VLOOKUP("8.2.x",A2:W103,6,FALSE),4),0)+IF(ISNUMBER(VLOOKUP("8.2.x",A2:W103,7,FALSE)),ROUND(VLOOKUP("8.2.x",A2:W103,7,FALSE),4),0)+IF(ISNUMBER(VLOOKUP("8.2.x",A2:W103,8,FALSE)),ROUND(VLOOKUP("8.2.x",A2:W103,8,FALSE),4),0)+IF(ISNUMBER(VLOOKUP("8.2.x",A2:W103,9,FALSE)),ROUND(VLOOKUP("8.2.x",A2:W103,9,FALSE),4),0))/7</f>
      </c>
      <c r="L64" s="17">
        <f>=(IF(ISNUMBER(VLOOKUP("8.2.x",A2:W103,4,FALSE)),ROUND(VLOOKUP("8.2.x",A2:W103,4,FALSE),4),0)+IF(ISNUMBER(VLOOKUP("8.2.x",A2:W103,5,FALSE)),ROUND(VLOOKUP("8.2.x",A2:W103,5,FALSE),4),0)+IF(ISNUMBER(VLOOKUP("8.2.x",A2:W103,6,FALSE)),ROUND(VLOOKUP("8.2.x",A2:W103,6,FALSE),4),0)+IF(ISNUMBER(VLOOKUP("8.2.x",A2:W103,7,FALSE)),ROUND(VLOOKUP("8.2.x",A2:W103,7,FALSE),4),0)+IF(ISNUMBER(VLOOKUP("8.2.x",A2:W103,8,FALSE)),ROUND(VLOOKUP("8.2.x",A2:W103,8,FALSE),4),0)+IF(ISNUMBER(VLOOKUP("8.2.x",A2:W103,9,FALSE)),ROUND(VLOOKUP("8.2.x",A2:W103,9,FALSE),4),0)+IF(ISNUMBER(VLOOKUP("8.2.x",A2:W103,11,FALSE)),ROUND(VLOOKUP("8.2.x",A2:W103,11,FALSE),4),0))/7</f>
      </c>
      <c r="M64" s="17">
        <f>=(IF(ISNUMBER(VLOOKUP("8.2",A2:W103,5,FALSE)),ROUND(VLOOKUP("8.2",A2:W103,5,FALSE),4),0)+IF(ISNUMBER(VLOOKUP("8.2",A2:W103,6,FALSE)),ROUND(VLOOKUP("8.2",A2:W103,6,FALSE),4),0)+IF(ISNUMBER(VLOOKUP("8.2",A2:W103,7,FALSE)),ROUND(VLOOKUP("8.2",A2:W103,7,FALSE),4),0)+IF(ISNUMBER(VLOOKUP("8.2",A2:W103,8,FALSE)),ROUND(VLOOKUP("8.2",A2:W103,8,FALSE),4),0)+IF(ISNUMBER(VLOOKUP("8.2",A2:W103,9,FALSE)),ROUND(VLOOKUP("8.2",A2:W103,9,FALSE),4),0)+IF(ISNUMBER(VLOOKUP("8.2",A2:W103,11,FALSE)),ROUND(VLOOKUP("8.2",A2:W103,11,FALSE),4),0)+IF(ISNUMBER(VLOOKUP("8.2",A2:W103,12,FALSE)),ROUND(VLOOKUP("8.2",A2:W103,12,FALSE),4),0))/7</f>
      </c>
      <c r="N64" s="17">
        <f>=(IF(ISNUMBER(VLOOKUP("8.2",A2:W103,6,FALSE)),ROUND(VLOOKUP("8.2",A2:W103,6,FALSE),4),0)+IF(ISNUMBER(VLOOKUP("8.2",A2:W103,7,FALSE)),ROUND(VLOOKUP("8.2",A2:W103,7,FALSE),4),0)+IF(ISNUMBER(VLOOKUP("8.2",A2:W103,8,FALSE)),ROUND(VLOOKUP("8.2",A2:W103,8,FALSE),4),0)+IF(ISNUMBER(VLOOKUP("8.2",A2:W103,9,FALSE)),ROUND(VLOOKUP("8.2",A2:W103,9,FALSE),4),0)+IF(ISNUMBER(VLOOKUP("8.2",A2:W103,11,FALSE)),ROUND(VLOOKUP("8.2",A2:W103,11,FALSE),4),0)+IF(ISNUMBER(VLOOKUP("8.2",A2:W103,12,FALSE)),ROUND(VLOOKUP("8.2",A2:W103,12,FALSE),4),0)+IF(ISNUMBER(VLOOKUP("8.2",A2:W103,13,FALSE)),ROUND(VLOOKUP("8.2",A2:W103,13,FALSE),4),0))/7</f>
      </c>
      <c r="O64" s="17">
        <f>=(IF(ISNUMBER(VLOOKUP("8.2",A2:W103,7,FALSE)),ROUND(VLOOKUP("8.2",A2:W103,7,FALSE),4),0)+IF(ISNUMBER(VLOOKUP("8.2",A2:W103,8,FALSE)),ROUND(VLOOKUP("8.2",A2:W103,8,FALSE),4),0)+IF(ISNUMBER(VLOOKUP("8.2",A2:W103,9,FALSE)),ROUND(VLOOKUP("8.2",A2:W103,9,FALSE),4),0)+IF(ISNUMBER(VLOOKUP("8.2",A2:W103,11,FALSE)),ROUND(VLOOKUP("8.2",A2:W103,11,FALSE),4),0)+IF(ISNUMBER(VLOOKUP("8.2",A2:W103,12,FALSE)),ROUND(VLOOKUP("8.2",A2:W103,12,FALSE),4),0)+IF(ISNUMBER(VLOOKUP("8.2",A2:W103,13,FALSE)),ROUND(VLOOKUP("8.2",A2:W103,13,FALSE),4),0)+IF(ISNUMBER(VLOOKUP("8.2",A2:W103,14,FALSE)),ROUND(VLOOKUP("8.2",A2:W103,14,FALSE),4),0))/7</f>
      </c>
      <c r="P64" s="17">
        <f>=(IF(ISNUMBER(VLOOKUP("8.2",A2:W103,8,FALSE)),ROUND(VLOOKUP("8.2",A2:W103,8,FALSE),4),0)+IF(ISNUMBER(VLOOKUP("8.2",A2:W103,9,FALSE)),ROUND(VLOOKUP("8.2",A2:W103,9,FALSE),4),0)+IF(ISNUMBER(VLOOKUP("8.2",A2:W103,11,FALSE)),ROUND(VLOOKUP("8.2",A2:W103,11,FALSE),4),0)+IF(ISNUMBER(VLOOKUP("8.2",A2:W103,12,FALSE)),ROUND(VLOOKUP("8.2",A2:W103,12,FALSE),4),0)+IF(ISNUMBER(VLOOKUP("8.2",A2:W103,13,FALSE)),ROUND(VLOOKUP("8.2",A2:W103,13,FALSE),4),0)+IF(ISNUMBER(VLOOKUP("8.2",A2:W103,14,FALSE)),ROUND(VLOOKUP("8.2",A2:W103,14,FALSE),4),0)+IF(ISNUMBER(VLOOKUP("8.2",A2:W103,15,FALSE)),ROUND(VLOOKUP("8.2",A2:W103,15,FALSE),4),0))/7</f>
      </c>
      <c r="Q64" s="17">
        <f>=(IF(ISNUMBER(VLOOKUP("8.2",A2:W103,9,FALSE)),ROUND(VLOOKUP("8.2",A2:W103,9,FALSE),4),0)+IF(ISNUMBER(VLOOKUP("8.2",A2:W103,11,FALSE)),ROUND(VLOOKUP("8.2",A2:W103,11,FALSE),4),0)+IF(ISNUMBER(VLOOKUP("8.2",A2:W103,12,FALSE)),ROUND(VLOOKUP("8.2",A2:W103,12,FALSE),4),0)+IF(ISNUMBER(VLOOKUP("8.2",A2:W103,13,FALSE)),ROUND(VLOOKUP("8.2",A2:W103,13,FALSE),4),0)+IF(ISNUMBER(VLOOKUP("8.2",A2:W103,14,FALSE)),ROUND(VLOOKUP("8.2",A2:W103,14,FALSE),4),0)+IF(ISNUMBER(VLOOKUP("8.2",A2:W103,15,FALSE)),ROUND(VLOOKUP("8.2",A2:W103,15,FALSE),4),0)+IF(ISNUMBER(VLOOKUP("8.2",A2:W103,16,FALSE)),ROUND(VLOOKUP("8.2",A2:W103,16,FALSE),4),0))/7</f>
      </c>
      <c r="R64" s="17">
        <f>=(IF(ISNUMBER(VLOOKUP("8.2",A2:W103,11,FALSE)),ROUND(VLOOKUP("8.2",A2:W103,11,FALSE),4),0)+IF(ISNUMBER(VLOOKUP("8.2",A2:W103,12,FALSE)),ROUND(VLOOKUP("8.2",A2:W103,12,FALSE),4),0)+IF(ISNUMBER(VLOOKUP("8.2",A2:W103,13,FALSE)),ROUND(VLOOKUP("8.2",A2:W103,13,FALSE),4),0)+IF(ISNUMBER(VLOOKUP("8.2",A2:W103,14,FALSE)),ROUND(VLOOKUP("8.2",A2:W103,14,FALSE),4),0)+IF(ISNUMBER(VLOOKUP("8.2",A2:W103,15,FALSE)),ROUND(VLOOKUP("8.2",A2:W103,15,FALSE),4),0)+IF(ISNUMBER(VLOOKUP("8.2",A2:W103,16,FALSE)),ROUND(VLOOKUP("8.2",A2:W103,16,FALSE),4),0)+IF(ISNUMBER(VLOOKUP("8.2",A2:W103,17,FALSE)),ROUND(VLOOKUP("8.2",A2:W103,17,FALSE),4),0))/7</f>
      </c>
      <c r="S64" s="17">
        <f>=(IF(ISNUMBER(VLOOKUP("8.2",A2:W103,12,FALSE)),ROUND(VLOOKUP("8.2",A2:W103,12,FALSE),4),0)+IF(ISNUMBER(VLOOKUP("8.2",A2:W103,13,FALSE)),ROUND(VLOOKUP("8.2",A2:W103,13,FALSE),4),0)+IF(ISNUMBER(VLOOKUP("8.2",A2:W103,14,FALSE)),ROUND(VLOOKUP("8.2",A2:W103,14,FALSE),4),0)+IF(ISNUMBER(VLOOKUP("8.2",A2:W103,15,FALSE)),ROUND(VLOOKUP("8.2",A2:W103,15,FALSE),4),0)+IF(ISNUMBER(VLOOKUP("8.2",A2:W103,16,FALSE)),ROUND(VLOOKUP("8.2",A2:W103,16,FALSE),4),0)+IF(ISNUMBER(VLOOKUP("8.2",A2:W103,17,FALSE)),ROUND(VLOOKUP("8.2",A2:W103,17,FALSE),4),0)+IF(ISNUMBER(VLOOKUP("8.2",A2:W103,18,FALSE)),ROUND(VLOOKUP("8.2",A2:W103,18,FALSE),4),0))/7</f>
      </c>
      <c r="T64" s="17">
        <f>=(IF(ISNUMBER(VLOOKUP("8.2",A2:W103,13,FALSE)),ROUND(VLOOKUP("8.2",A2:W103,13,FALSE),4),0)+IF(ISNUMBER(VLOOKUP("8.2",A2:W103,14,FALSE)),ROUND(VLOOKUP("8.2",A2:W103,14,FALSE),4),0)+IF(ISNUMBER(VLOOKUP("8.2",A2:W103,15,FALSE)),ROUND(VLOOKUP("8.2",A2:W103,15,FALSE),4),0)+IF(ISNUMBER(VLOOKUP("8.2",A2:W103,16,FALSE)),ROUND(VLOOKUP("8.2",A2:W103,16,FALSE),4),0)+IF(ISNUMBER(VLOOKUP("8.2",A2:W103,17,FALSE)),ROUND(VLOOKUP("8.2",A2:W103,17,FALSE),4),0)+IF(ISNUMBER(VLOOKUP("8.2",A2:W103,18,FALSE)),ROUND(VLOOKUP("8.2",A2:W103,18,FALSE),4),0)+IF(ISNUMBER(VLOOKUP("8.2",A2:W103,19,FALSE)),ROUND(VLOOKUP("8.2",A2:W103,19,FALSE),4),0))/7</f>
      </c>
      <c r="U64" s="17">
        <f>=(IF(ISNUMBER(VLOOKUP("8.2",A2:W103,14,FALSE)),ROUND(VLOOKUP("8.2",A2:W103,14,FALSE),4),0)+IF(ISNUMBER(VLOOKUP("8.2",A2:W103,15,FALSE)),ROUND(VLOOKUP("8.2",A2:W103,15,FALSE),4),0)+IF(ISNUMBER(VLOOKUP("8.2",A2:W103,16,FALSE)),ROUND(VLOOKUP("8.2",A2:W103,16,FALSE),4),0)+IF(ISNUMBER(VLOOKUP("8.2",A2:W103,17,FALSE)),ROUND(VLOOKUP("8.2",A2:W103,17,FALSE),4),0)+IF(ISNUMBER(VLOOKUP("8.2",A2:W103,18,FALSE)),ROUND(VLOOKUP("8.2",A2:W103,18,FALSE),4),0)+IF(ISNUMBER(VLOOKUP("8.2",A2:W103,19,FALSE)),ROUND(VLOOKUP("8.2",A2:W103,19,FALSE),4),0)+IF(ISNUMBER(VLOOKUP("8.2",A2:W103,20,FALSE)),ROUND(VLOOKUP("8.2",A2:W103,20,FALSE),4),0))/7</f>
      </c>
      <c r="V64" s="17">
        <f>=(IF(ISNUMBER(VLOOKUP("8.2",A2:W103,15,FALSE)),ROUND(VLOOKUP("8.2",A2:W103,15,FALSE),4),0)+IF(ISNUMBER(VLOOKUP("8.2",A2:W103,16,FALSE)),ROUND(VLOOKUP("8.2",A2:W103,16,FALSE),4),0)+IF(ISNUMBER(VLOOKUP("8.2",A2:W103,17,FALSE)),ROUND(VLOOKUP("8.2",A2:W103,17,FALSE),4),0)+IF(ISNUMBER(VLOOKUP("8.2",A2:W103,18,FALSE)),ROUND(VLOOKUP("8.2",A2:W103,18,FALSE),4),0)+IF(ISNUMBER(VLOOKUP("8.2",A2:W103,19,FALSE)),ROUND(VLOOKUP("8.2",A2:W103,19,FALSE),4),0)+IF(ISNUMBER(VLOOKUP("8.2",A2:W103,20,FALSE)),ROUND(VLOOKUP("8.2",A2:W103,20,FALSE),4),0)+IF(ISNUMBER(VLOOKUP("8.2",A2:W103,21,FALSE)),ROUND(VLOOKUP("8.2",A2:W103,21,FALSE),4),0))/7</f>
      </c>
      <c r="W64" s="17">
        <f>=(IF(ISNUMBER(VLOOKUP("8.2",A2:W103,16,FALSE)),ROUND(VLOOKUP("8.2",A2:W103,16,FALSE),4),0)+IF(ISNUMBER(VLOOKUP("8.2",A2:W103,17,FALSE)),ROUND(VLOOKUP("8.2",A2:W103,17,FALSE),4),0)+IF(ISNUMBER(VLOOKUP("8.2",A2:W103,18,FALSE)),ROUND(VLOOKUP("8.2",A2:W103,18,FALSE),4),0)+IF(ISNUMBER(VLOOKUP("8.2",A2:W103,19,FALSE)),ROUND(VLOOKUP("8.2",A2:W103,19,FALSE),4),0)+IF(ISNUMBER(VLOOKUP("8.2",A2:W103,20,FALSE)),ROUND(VLOOKUP("8.2",A2:W103,20,FALSE),4),0)+IF(ISNUMBER(VLOOKUP("8.2",A2:W103,21,FALSE)),ROUND(VLOOKUP("8.2",A2:W103,21,FALSE),4),0)+IF(ISNUMBER(VLOOKUP("8.2",A2:W103,22,FALSE)),ROUND(VLOOKUP("8.2",A2:W103,22,FALSE),4),0))/7</f>
      </c>
    </row>
    <row r="65" ht="78.5833282470703" customHeight="1">
      <c r="A65" s="14" t="s">
        <v>143</v>
      </c>
      <c r="B65" s="15" t="s">
        <v>144</v>
      </c>
      <c r="C65" s="16">
        <f>=0.15</f>
      </c>
      <c r="D65" s="16">
        <f>=0.15</f>
      </c>
      <c r="E65" s="16">
        <f>=0.15</f>
      </c>
      <c r="F65" s="16">
        <f>=0.15</f>
      </c>
      <c r="G65" s="16">
        <f>=0.15</f>
      </c>
      <c r="H65" s="16">
        <f>=0.15</f>
      </c>
      <c r="I65" s="16">
        <f>=0.15</f>
      </c>
      <c r="J65" s="16">
        <f>=0.15</f>
      </c>
      <c r="K65" s="17">
        <f>=(IF(ISNUMBER(VLOOKUP("8.2.x",A2:W103,3,FALSE)),ROUND(VLOOKUP("8.2.x",A2:W103,3,FALSE),4),0)+IF(ISNUMBER(VLOOKUP("8.2.x",A2:W103,4,FALSE)),ROUND(VLOOKUP("8.2.x",A2:W103,4,FALSE),4),0)+IF(ISNUMBER(VLOOKUP("8.2.x",A2:W103,5,FALSE)),ROUND(VLOOKUP("8.2.x",A2:W103,5,FALSE),4),0)+IF(ISNUMBER(VLOOKUP("8.2.x",A2:W103,6,FALSE)),ROUND(VLOOKUP("8.2.x",A2:W103,6,FALSE),4),0)+IF(ISNUMBER(VLOOKUP("8.2.x",A2:W103,7,FALSE)),ROUND(VLOOKUP("8.2.x",A2:W103,7,FALSE),4),0)+IF(ISNUMBER(VLOOKUP("8.2.x",A2:W103,8,FALSE)),ROUND(VLOOKUP("8.2.x",A2:W103,8,FALSE),4),0)+IF(ISNUMBER(VLOOKUP("8.2.x",A2:W103,10,FALSE)),ROUND(VLOOKUP("8.2.x",A2:W103,10,FALSE),4),0))/7</f>
      </c>
      <c r="L65" s="17">
        <f>=(IF(ISNUMBER(VLOOKUP("8.2.x",A2:W103,4,FALSE)),ROUND(VLOOKUP("8.2.x",A2:W103,4,FALSE),4),0)+IF(ISNUMBER(VLOOKUP("8.2.x",A2:W103,5,FALSE)),ROUND(VLOOKUP("8.2.x",A2:W103,5,FALSE),4),0)+IF(ISNUMBER(VLOOKUP("8.2.x",A2:W103,6,FALSE)),ROUND(VLOOKUP("8.2.x",A2:W103,6,FALSE),4),0)+IF(ISNUMBER(VLOOKUP("8.2.x",A2:W103,7,FALSE)),ROUND(VLOOKUP("8.2.x",A2:W103,7,FALSE),4),0)+IF(ISNUMBER(VLOOKUP("8.2.x",A2:W103,8,FALSE)),ROUND(VLOOKUP("8.2.x",A2:W103,8,FALSE),4),0)+IF(ISNUMBER(VLOOKUP("8.2.x",A2:W103,10,FALSE)),ROUND(VLOOKUP("8.2.x",A2:W103,10,FALSE),4),0)+IF(ISNUMBER(VLOOKUP("8.2.x",A2:W103,11,FALSE)),ROUND(VLOOKUP("8.2.x",A2:W103,11,FALSE),4),0))/7</f>
      </c>
      <c r="M65" s="17">
        <f>=(IF(ISNUMBER(VLOOKUP("8.2",A2:W103,5,FALSE)),ROUND(VLOOKUP("8.2",A2:W103,5,FALSE),4),0)+IF(ISNUMBER(VLOOKUP("8.2",A2:W103,6,FALSE)),ROUND(VLOOKUP("8.2",A2:W103,6,FALSE),4),0)+IF(ISNUMBER(VLOOKUP("8.2",A2:W103,7,FALSE)),ROUND(VLOOKUP("8.2",A2:W103,7,FALSE),4),0)+IF(ISNUMBER(VLOOKUP("8.2",A2:W103,8,FALSE)),ROUND(VLOOKUP("8.2",A2:W103,8,FALSE),4),0)+IF(ISNUMBER(VLOOKUP("8.2",A2:W103,10,FALSE)),ROUND(VLOOKUP("8.2",A2:W103,10,FALSE),4),0)+IF(ISNUMBER(VLOOKUP("8.2",A2:W103,11,FALSE)),ROUND(VLOOKUP("8.2",A2:W103,11,FALSE),4),0)+IF(ISNUMBER(VLOOKUP("8.2",A2:W103,12,FALSE)),ROUND(VLOOKUP("8.2",A2:W103,12,FALSE),4),0))/7</f>
      </c>
      <c r="N65" s="17">
        <f>=(IF(ISNUMBER(VLOOKUP("8.2",A2:W103,6,FALSE)),ROUND(VLOOKUP("8.2",A2:W103,6,FALSE),4),0)+IF(ISNUMBER(VLOOKUP("8.2",A2:W103,7,FALSE)),ROUND(VLOOKUP("8.2",A2:W103,7,FALSE),4),0)+IF(ISNUMBER(VLOOKUP("8.2",A2:W103,8,FALSE)),ROUND(VLOOKUP("8.2",A2:W103,8,FALSE),4),0)+IF(ISNUMBER(VLOOKUP("8.2",A2:W103,10,FALSE)),ROUND(VLOOKUP("8.2",A2:W103,10,FALSE),4),0)+IF(ISNUMBER(VLOOKUP("8.2",A2:W103,11,FALSE)),ROUND(VLOOKUP("8.2",A2:W103,11,FALSE),4),0)+IF(ISNUMBER(VLOOKUP("8.2",A2:W103,12,FALSE)),ROUND(VLOOKUP("8.2",A2:W103,12,FALSE),4),0)+IF(ISNUMBER(VLOOKUP("8.2",A2:W103,13,FALSE)),ROUND(VLOOKUP("8.2",A2:W103,13,FALSE),4),0))/7</f>
      </c>
      <c r="O65" s="17">
        <f>=(IF(ISNUMBER(VLOOKUP("8.2",A2:W103,7,FALSE)),ROUND(VLOOKUP("8.2",A2:W103,7,FALSE),4),0)+IF(ISNUMBER(VLOOKUP("8.2",A2:W103,8,FALSE)),ROUND(VLOOKUP("8.2",A2:W103,8,FALSE),4),0)+IF(ISNUMBER(VLOOKUP("8.2",A2:W103,10,FALSE)),ROUND(VLOOKUP("8.2",A2:W103,10,FALSE),4),0)+IF(ISNUMBER(VLOOKUP("8.2",A2:W103,11,FALSE)),ROUND(VLOOKUP("8.2",A2:W103,11,FALSE),4),0)+IF(ISNUMBER(VLOOKUP("8.2",A2:W103,12,FALSE)),ROUND(VLOOKUP("8.2",A2:W103,12,FALSE),4),0)+IF(ISNUMBER(VLOOKUP("8.2",A2:W103,13,FALSE)),ROUND(VLOOKUP("8.2",A2:W103,13,FALSE),4),0)+IF(ISNUMBER(VLOOKUP("8.2",A2:W103,14,FALSE)),ROUND(VLOOKUP("8.2",A2:W103,14,FALSE),4),0))/7</f>
      </c>
      <c r="P65" s="17">
        <f>=(IF(ISNUMBER(VLOOKUP("8.2",A2:W103,8,FALSE)),ROUND(VLOOKUP("8.2",A2:W103,8,FALSE),4),0)+IF(ISNUMBER(VLOOKUP("8.2",A2:W103,10,FALSE)),ROUND(VLOOKUP("8.2",A2:W103,10,FALSE),4),0)+IF(ISNUMBER(VLOOKUP("8.2",A2:W103,11,FALSE)),ROUND(VLOOKUP("8.2",A2:W103,11,FALSE),4),0)+IF(ISNUMBER(VLOOKUP("8.2",A2:W103,12,FALSE)),ROUND(VLOOKUP("8.2",A2:W103,12,FALSE),4),0)+IF(ISNUMBER(VLOOKUP("8.2",A2:W103,13,FALSE)),ROUND(VLOOKUP("8.2",A2:W103,13,FALSE),4),0)+IF(ISNUMBER(VLOOKUP("8.2",A2:W103,14,FALSE)),ROUND(VLOOKUP("8.2",A2:W103,14,FALSE),4),0)+IF(ISNUMBER(VLOOKUP("8.2",A2:W103,15,FALSE)),ROUND(VLOOKUP("8.2",A2:W103,15,FALSE),4),0))/7</f>
      </c>
      <c r="Q65" s="17">
        <f>=(IF(ISNUMBER(VLOOKUP("8.2",A2:W103,10,FALSE)),ROUND(VLOOKUP("8.2",A2:W103,10,FALSE),4),0)+IF(ISNUMBER(VLOOKUP("8.2",A2:W103,11,FALSE)),ROUND(VLOOKUP("8.2",A2:W103,11,FALSE),4),0)+IF(ISNUMBER(VLOOKUP("8.2",A2:W103,12,FALSE)),ROUND(VLOOKUP("8.2",A2:W103,12,FALSE),4),0)+IF(ISNUMBER(VLOOKUP("8.2",A2:W103,13,FALSE)),ROUND(VLOOKUP("8.2",A2:W103,13,FALSE),4),0)+IF(ISNUMBER(VLOOKUP("8.2",A2:W103,14,FALSE)),ROUND(VLOOKUP("8.2",A2:W103,14,FALSE),4),0)+IF(ISNUMBER(VLOOKUP("8.2",A2:W103,15,FALSE)),ROUND(VLOOKUP("8.2",A2:W103,15,FALSE),4),0)+IF(ISNUMBER(VLOOKUP("8.2",A2:W103,16,FALSE)),ROUND(VLOOKUP("8.2",A2:W103,16,FALSE),4),0))/7</f>
      </c>
      <c r="R65" s="17">
        <f>=(IF(ISNUMBER(VLOOKUP("8.2",A2:W103,11,FALSE)),ROUND(VLOOKUP("8.2",A2:W103,11,FALSE),4),0)+IF(ISNUMBER(VLOOKUP("8.2",A2:W103,12,FALSE)),ROUND(VLOOKUP("8.2",A2:W103,12,FALSE),4),0)+IF(ISNUMBER(VLOOKUP("8.2",A2:W103,13,FALSE)),ROUND(VLOOKUP("8.2",A2:W103,13,FALSE),4),0)+IF(ISNUMBER(VLOOKUP("8.2",A2:W103,14,FALSE)),ROUND(VLOOKUP("8.2",A2:W103,14,FALSE),4),0)+IF(ISNUMBER(VLOOKUP("8.2",A2:W103,15,FALSE)),ROUND(VLOOKUP("8.2",A2:W103,15,FALSE),4),0)+IF(ISNUMBER(VLOOKUP("8.2",A2:W103,16,FALSE)),ROUND(VLOOKUP("8.2",A2:W103,16,FALSE),4),0)+IF(ISNUMBER(VLOOKUP("8.2",A2:W103,17,FALSE)),ROUND(VLOOKUP("8.2",A2:W103,17,FALSE),4),0))/7</f>
      </c>
      <c r="S65" s="17">
        <f>=(IF(ISNUMBER(VLOOKUP("8.2",A2:W103,12,FALSE)),ROUND(VLOOKUP("8.2",A2:W103,12,FALSE),4),0)+IF(ISNUMBER(VLOOKUP("8.2",A2:W103,13,FALSE)),ROUND(VLOOKUP("8.2",A2:W103,13,FALSE),4),0)+IF(ISNUMBER(VLOOKUP("8.2",A2:W103,14,FALSE)),ROUND(VLOOKUP("8.2",A2:W103,14,FALSE),4),0)+IF(ISNUMBER(VLOOKUP("8.2",A2:W103,15,FALSE)),ROUND(VLOOKUP("8.2",A2:W103,15,FALSE),4),0)+IF(ISNUMBER(VLOOKUP("8.2",A2:W103,16,FALSE)),ROUND(VLOOKUP("8.2",A2:W103,16,FALSE),4),0)+IF(ISNUMBER(VLOOKUP("8.2",A2:W103,17,FALSE)),ROUND(VLOOKUP("8.2",A2:W103,17,FALSE),4),0)+IF(ISNUMBER(VLOOKUP("8.2",A2:W103,18,FALSE)),ROUND(VLOOKUP("8.2",A2:W103,18,FALSE),4),0))/7</f>
      </c>
      <c r="T65" s="17">
        <f>=(IF(ISNUMBER(VLOOKUP("8.2",A2:W103,13,FALSE)),ROUND(VLOOKUP("8.2",A2:W103,13,FALSE),4),0)+IF(ISNUMBER(VLOOKUP("8.2",A2:W103,14,FALSE)),ROUND(VLOOKUP("8.2",A2:W103,14,FALSE),4),0)+IF(ISNUMBER(VLOOKUP("8.2",A2:W103,15,FALSE)),ROUND(VLOOKUP("8.2",A2:W103,15,FALSE),4),0)+IF(ISNUMBER(VLOOKUP("8.2",A2:W103,16,FALSE)),ROUND(VLOOKUP("8.2",A2:W103,16,FALSE),4),0)+IF(ISNUMBER(VLOOKUP("8.2",A2:W103,17,FALSE)),ROUND(VLOOKUP("8.2",A2:W103,17,FALSE),4),0)+IF(ISNUMBER(VLOOKUP("8.2",A2:W103,18,FALSE)),ROUND(VLOOKUP("8.2",A2:W103,18,FALSE),4),0)+IF(ISNUMBER(VLOOKUP("8.2",A2:W103,19,FALSE)),ROUND(VLOOKUP("8.2",A2:W103,19,FALSE),4),0))/7</f>
      </c>
      <c r="U65" s="17">
        <f>=(IF(ISNUMBER(VLOOKUP("8.2",A2:W103,14,FALSE)),ROUND(VLOOKUP("8.2",A2:W103,14,FALSE),4),0)+IF(ISNUMBER(VLOOKUP("8.2",A2:W103,15,FALSE)),ROUND(VLOOKUP("8.2",A2:W103,15,FALSE),4),0)+IF(ISNUMBER(VLOOKUP("8.2",A2:W103,16,FALSE)),ROUND(VLOOKUP("8.2",A2:W103,16,FALSE),4),0)+IF(ISNUMBER(VLOOKUP("8.2",A2:W103,17,FALSE)),ROUND(VLOOKUP("8.2",A2:W103,17,FALSE),4),0)+IF(ISNUMBER(VLOOKUP("8.2",A2:W103,18,FALSE)),ROUND(VLOOKUP("8.2",A2:W103,18,FALSE),4),0)+IF(ISNUMBER(VLOOKUP("8.2",A2:W103,19,FALSE)),ROUND(VLOOKUP("8.2",A2:W103,19,FALSE),4),0)+IF(ISNUMBER(VLOOKUP("8.2",A2:W103,20,FALSE)),ROUND(VLOOKUP("8.2",A2:W103,20,FALSE),4),0))/7</f>
      </c>
      <c r="V65" s="17">
        <f>=(IF(ISNUMBER(VLOOKUP("8.2",A2:W103,15,FALSE)),ROUND(VLOOKUP("8.2",A2:W103,15,FALSE),4),0)+IF(ISNUMBER(VLOOKUP("8.2",A2:W103,16,FALSE)),ROUND(VLOOKUP("8.2",A2:W103,16,FALSE),4),0)+IF(ISNUMBER(VLOOKUP("8.2",A2:W103,17,FALSE)),ROUND(VLOOKUP("8.2",A2:W103,17,FALSE),4),0)+IF(ISNUMBER(VLOOKUP("8.2",A2:W103,18,FALSE)),ROUND(VLOOKUP("8.2",A2:W103,18,FALSE),4),0)+IF(ISNUMBER(VLOOKUP("8.2",A2:W103,19,FALSE)),ROUND(VLOOKUP("8.2",A2:W103,19,FALSE),4),0)+IF(ISNUMBER(VLOOKUP("8.2",A2:W103,20,FALSE)),ROUND(VLOOKUP("8.2",A2:W103,20,FALSE),4),0)+IF(ISNUMBER(VLOOKUP("8.2",A2:W103,21,FALSE)),ROUND(VLOOKUP("8.2",A2:W103,21,FALSE),4),0))/7</f>
      </c>
      <c r="W65" s="17">
        <f>=(IF(ISNUMBER(VLOOKUP("8.2",A2:W103,16,FALSE)),ROUND(VLOOKUP("8.2",A2:W103,16,FALSE),4),0)+IF(ISNUMBER(VLOOKUP("8.2",A2:W103,17,FALSE)),ROUND(VLOOKUP("8.2",A2:W103,17,FALSE),4),0)+IF(ISNUMBER(VLOOKUP("8.2",A2:W103,18,FALSE)),ROUND(VLOOKUP("8.2",A2:W103,18,FALSE),4),0)+IF(ISNUMBER(VLOOKUP("8.2",A2:W103,19,FALSE)),ROUND(VLOOKUP("8.2",A2:W103,19,FALSE),4),0)+IF(ISNUMBER(VLOOKUP("8.2",A2:W103,20,FALSE)),ROUND(VLOOKUP("8.2",A2:W103,20,FALSE),4),0)+IF(ISNUMBER(VLOOKUP("8.2",A2:W103,21,FALSE)),ROUND(VLOOKUP("8.2",A2:W103,21,FALSE),4),0)+IF(ISNUMBER(VLOOKUP("8.2",A2:W103,22,FALSE)),ROUND(VLOOKUP("8.2",A2:W103,22,FALSE),4),0))/7</f>
      </c>
    </row>
    <row r="66" ht="78.5833282470703" customHeight="1">
      <c r="A66" s="2" t="s">
        <v>145</v>
      </c>
      <c r="B66" s="3" t="s">
        <v>146</v>
      </c>
      <c r="C66" s="18">
        <f>=IF(IF(ISNUMBER(VLOOKUP("8.1",A2:W103,3,FALSE)),ROUND(VLOOKUP("8.1",A2:W103,3,FALSE),4),0) - IF(ISNUMBER(VLOOKUP("8.3",A2:W103,3,FALSE)),ROUND(VLOOKUP("8.3",A2:W103,3,FALSE),4),0) &lt;= 0, "Tak", "Nie")</f>
      </c>
      <c r="D66" s="18">
        <f>=IF(IF(ISNUMBER(VLOOKUP("8.1",A2:W103,4,FALSE)),ROUND(VLOOKUP("8.1",A2:W103,4,FALSE),4),0) - IF(ISNUMBER(VLOOKUP("8.3",A2:W103,4,FALSE)),ROUND(VLOOKUP("8.3",A2:W103,4,FALSE),4),0) &lt;= 0, "Tak", "Nie")</f>
      </c>
      <c r="E66" s="18">
        <f>=IF(IF(ISNUMBER(VLOOKUP("8.1",A2:W103,5,FALSE)),ROUND(VLOOKUP("8.1",A2:W103,5,FALSE),4),0) - IF(ISNUMBER(VLOOKUP("8.3",A2:W103,5,FALSE)),ROUND(VLOOKUP("8.3",A2:W103,5,FALSE),4),0) &lt;= 0, "Tak", "Nie")</f>
      </c>
      <c r="F66" s="18">
        <f>=IF(IF(ISNUMBER(VLOOKUP("8.1",A2:W103,6,FALSE)),ROUND(VLOOKUP("8.1",A2:W103,6,FALSE),4),0) - IF(ISNUMBER(VLOOKUP("8.3",A2:W103,6,FALSE)),ROUND(VLOOKUP("8.3",A2:W103,6,FALSE),4),0) &lt;= 0, "Tak", "Nie")</f>
      </c>
      <c r="G66" s="18">
        <f>=IF(IF(ISNUMBER(VLOOKUP("8.1",A2:W103,7,FALSE)),ROUND(VLOOKUP("8.1",A2:W103,7,FALSE),4),0) - IF(ISNUMBER(VLOOKUP("8.3",A2:W103,7,FALSE)),ROUND(VLOOKUP("8.3",A2:W103,7,FALSE),4),0) &lt;= 0, "Tak", "Nie")</f>
      </c>
      <c r="H66" s="18">
        <f>=IF(IF(ISNUMBER(VLOOKUP("8.1",A2:W103,8,FALSE)),ROUND(VLOOKUP("8.1",A2:W103,8,FALSE),4),0) - IF(ISNUMBER(VLOOKUP("8.3",A2:W103,8,FALSE)),ROUND(VLOOKUP("8.3",A2:W103,8,FALSE),4),0) &lt;= 0, "Tak", "Nie")</f>
      </c>
      <c r="I66" s="18">
        <f>=IF(IF(ISNUMBER(VLOOKUP("8.1",A2:W103,9,FALSE)),ROUND(VLOOKUP("8.1",A2:W103,9,FALSE),4),0) - IF(ISNUMBER(VLOOKUP("8.3",A2:W103,9,FALSE)),ROUND(VLOOKUP("8.3",A2:W103,9,FALSE),4),0) &lt;= 0, "Tak", "Nie")</f>
      </c>
      <c r="J66" s="18">
        <f>=IF(IF(ISNUMBER(VLOOKUP("8.1",A2:W103,10,FALSE)),ROUND(VLOOKUP("8.1",A2:W103,10,FALSE),4),0) - IF(ISNUMBER(VLOOKUP("8.3",A2:W103,10,FALSE)),ROUND(VLOOKUP("8.3",A2:W103,10,FALSE),4),0) &lt;= 0, "Tak", "Nie")</f>
      </c>
      <c r="K66" s="18">
        <f>=IF(IF(ISNUMBER(VLOOKUP("8.1",A2:W103,11,FALSE)),ROUND(VLOOKUP("8.1",A2:W103,11,FALSE),4),0) - IF(ISNUMBER(VLOOKUP("8.3",A2:W103,11,FALSE)),ROUND(VLOOKUP("8.3",A2:W103,11,FALSE),4),0) &lt;= 0, "Tak", "Nie")</f>
      </c>
      <c r="L66" s="19">
        <f>=IF(IF(ISNUMBER(VLOOKUP("8.1",A2:W103,12,FALSE)),ROUND(VLOOKUP("8.1",A2:W103,12,FALSE),4),0) - IF(ISNUMBER(VLOOKUP("8.3",A2:W103,12,FALSE)),ROUND(VLOOKUP("8.3",A2:W103,12,FALSE),4),0) &lt;= 0, "Tak", "Nie")</f>
      </c>
      <c r="M66" s="18">
        <f>=IF(IF(ISNUMBER(VLOOKUP("8.1",A2:W103,13,FALSE)),ROUND(VLOOKUP("8.1",A2:W103,13,FALSE),4),0) - IF(ISNUMBER(VLOOKUP("8.3",A2:W103,13,FALSE)),ROUND(VLOOKUP("8.3",A2:W103,13,FALSE),4),0) &lt;= 0, "Tak", "Nie")</f>
      </c>
      <c r="N66" s="18">
        <f>=IF(IF(ISNUMBER(VLOOKUP("8.1",A2:W103,14,FALSE)),ROUND(VLOOKUP("8.1",A2:W103,14,FALSE),4),0) - IF(ISNUMBER(VLOOKUP("8.3",A2:W103,14,FALSE)),ROUND(VLOOKUP("8.3",A2:W103,14,FALSE),4),0) &lt;= 0, "Tak", "Nie")</f>
      </c>
      <c r="O66" s="18">
        <f>=IF(IF(ISNUMBER(VLOOKUP("8.1",A2:W103,15,FALSE)),ROUND(VLOOKUP("8.1",A2:W103,15,FALSE),4),0) - IF(ISNUMBER(VLOOKUP("8.3",A2:W103,15,FALSE)),ROUND(VLOOKUP("8.3",A2:W103,15,FALSE),4),0) &lt;= 0, "Tak", "Nie")</f>
      </c>
      <c r="P66" s="18">
        <f>=IF(IF(ISNUMBER(VLOOKUP("8.1",A2:W103,16,FALSE)),ROUND(VLOOKUP("8.1",A2:W103,16,FALSE),4),0) - IF(ISNUMBER(VLOOKUP("8.3",A2:W103,16,FALSE)),ROUND(VLOOKUP("8.3",A2:W103,16,FALSE),4),0) &lt;= 0, "Tak", "Nie")</f>
      </c>
      <c r="Q66" s="18">
        <f>=IF(IF(ISNUMBER(VLOOKUP("8.1",A2:W103,17,FALSE)),ROUND(VLOOKUP("8.1",A2:W103,17,FALSE),4),0) - IF(ISNUMBER(VLOOKUP("8.3",A2:W103,17,FALSE)),ROUND(VLOOKUP("8.3",A2:W103,17,FALSE),4),0) &lt;= 0, "Tak", "Nie")</f>
      </c>
      <c r="R66" s="18">
        <f>=IF(IF(ISNUMBER(VLOOKUP("8.1",A2:W103,18,FALSE)),ROUND(VLOOKUP("8.1",A2:W103,18,FALSE),4),0) - IF(ISNUMBER(VLOOKUP("8.3",A2:W103,18,FALSE)),ROUND(VLOOKUP("8.3",A2:W103,18,FALSE),4),0) &lt;= 0, "Tak", "Nie")</f>
      </c>
      <c r="S66" s="18">
        <f>=IF(IF(ISNUMBER(VLOOKUP("8.1",A2:W103,19,FALSE)),ROUND(VLOOKUP("8.1",A2:W103,19,FALSE),4),0) - IF(ISNUMBER(VLOOKUP("8.3",A2:W103,19,FALSE)),ROUND(VLOOKUP("8.3",A2:W103,19,FALSE),4),0) &lt;= 0, "Tak", "Nie")</f>
      </c>
      <c r="T66" s="18">
        <f>=IF(IF(ISNUMBER(VLOOKUP("8.1",A2:W103,20,FALSE)),ROUND(VLOOKUP("8.1",A2:W103,20,FALSE),4),0) - IF(ISNUMBER(VLOOKUP("8.3",A2:W103,20,FALSE)),ROUND(VLOOKUP("8.3",A2:W103,20,FALSE),4),0) &lt;= 0, "Tak", "Nie")</f>
      </c>
      <c r="U66" s="18">
        <f>=IF(IF(ISNUMBER(VLOOKUP("8.1",A2:W103,21,FALSE)),ROUND(VLOOKUP("8.1",A2:W103,21,FALSE),4),0) - IF(ISNUMBER(VLOOKUP("8.3",A2:W103,21,FALSE)),ROUND(VLOOKUP("8.3",A2:W103,21,FALSE),4),0) &lt;= 0, "Tak", "Nie")</f>
      </c>
      <c r="V66" s="18">
        <f>=IF(IF(ISNUMBER(VLOOKUP("8.1",A2:W103,22,FALSE)),ROUND(VLOOKUP("8.1",A2:W103,22,FALSE),4),0) - IF(ISNUMBER(VLOOKUP("8.3",A2:W103,22,FALSE)),ROUND(VLOOKUP("8.3",A2:W103,22,FALSE),4),0) &lt;= 0, "Tak", "Nie")</f>
      </c>
      <c r="W66" s="18">
        <f>=IF(IF(ISNUMBER(VLOOKUP("8.1",A2:W103,23,FALSE)),ROUND(VLOOKUP("8.1",A2:W103,23,FALSE),4),0) - IF(ISNUMBER(VLOOKUP("8.3",A2:W103,23,FALSE)),ROUND(VLOOKUP("8.3",A2:W103,23,FALSE),4),0) &lt;= 0, "Tak", "Nie")</f>
      </c>
    </row>
    <row r="67" ht="78.5833282470703" customHeight="1">
      <c r="A67" s="6" t="s">
        <v>147</v>
      </c>
      <c r="B67" s="7" t="s">
        <v>148</v>
      </c>
      <c r="C67" s="20">
        <f>=IF(IF(ISNUMBER(VLOOKUP("8.1",A2:W103,3,FALSE)),ROUND(VLOOKUP("8.1",A2:W103,3,FALSE),4),0) - IF(ISNUMBER(VLOOKUP("8.3.1",A2:W103,3,FALSE)),ROUND(VLOOKUP("8.3.1",A2:W103,3,FALSE),4),0) &lt;= 0, "Tak", "Nie")</f>
      </c>
      <c r="D67" s="20">
        <f>=IF(IF(ISNUMBER(VLOOKUP("8.1",A2:W103,4,FALSE)),ROUND(VLOOKUP("8.1",A2:W103,4,FALSE),4),0) - IF(ISNUMBER(VLOOKUP("8.3.1",A2:W103,4,FALSE)),ROUND(VLOOKUP("8.3.1",A2:W103,4,FALSE),4),0) &lt;= 0, "Tak", "Nie")</f>
      </c>
      <c r="E67" s="20">
        <f>=IF(IF(ISNUMBER(VLOOKUP("8.1",A2:W103,5,FALSE)),ROUND(VLOOKUP("8.1",A2:W103,5,FALSE),4),0) - IF(ISNUMBER(VLOOKUP("8.3.1",A2:W103,5,FALSE)),ROUND(VLOOKUP("8.3.1",A2:W103,5,FALSE),4),0) &lt;= 0, "Tak", "Nie")</f>
      </c>
      <c r="F67" s="20">
        <f>=IF(IF(ISNUMBER(VLOOKUP("8.1",A2:W103,6,FALSE)),ROUND(VLOOKUP("8.1",A2:W103,6,FALSE),4),0) - IF(ISNUMBER(VLOOKUP("8.3.1",A2:W103,6,FALSE)),ROUND(VLOOKUP("8.3.1",A2:W103,6,FALSE),4),0) &lt;= 0, "Tak", "Nie")</f>
      </c>
      <c r="G67" s="20">
        <f>=IF(IF(ISNUMBER(VLOOKUP("8.1",A2:W103,7,FALSE)),ROUND(VLOOKUP("8.1",A2:W103,7,FALSE),4),0) - IF(ISNUMBER(VLOOKUP("8.3.1",A2:W103,7,FALSE)),ROUND(VLOOKUP("8.3.1",A2:W103,7,FALSE),4),0) &lt;= 0, "Tak", "Nie")</f>
      </c>
      <c r="H67" s="20">
        <f>=IF(IF(ISNUMBER(VLOOKUP("8.1",A2:W103,8,FALSE)),ROUND(VLOOKUP("8.1",A2:W103,8,FALSE),4),0) - IF(ISNUMBER(VLOOKUP("8.3.1",A2:W103,8,FALSE)),ROUND(VLOOKUP("8.3.1",A2:W103,8,FALSE),4),0) &lt;= 0, "Tak", "Nie")</f>
      </c>
      <c r="I67" s="20">
        <f>=IF(IF(ISNUMBER(VLOOKUP("8.1",A2:W103,9,FALSE)),ROUND(VLOOKUP("8.1",A2:W103,9,FALSE),4),0) - IF(ISNUMBER(VLOOKUP("8.3.1",A2:W103,9,FALSE)),ROUND(VLOOKUP("8.3.1",A2:W103,9,FALSE),4),0) &lt;= 0, "Tak", "Nie")</f>
      </c>
      <c r="J67" s="20">
        <f>=IF(IF(ISNUMBER(VLOOKUP("8.1",A2:W103,10,FALSE)),ROUND(VLOOKUP("8.1",A2:W103,10,FALSE),4),0) - IF(ISNUMBER(VLOOKUP("8.3.1",A2:W103,10,FALSE)),ROUND(VLOOKUP("8.3.1",A2:W103,10,FALSE),4),0) &lt;= 0, "Tak", "Nie")</f>
      </c>
      <c r="K67" s="20">
        <f>=IF(IF(ISNUMBER(VLOOKUP("8.1",A2:W103,11,FALSE)),ROUND(VLOOKUP("8.1",A2:W103,11,FALSE),4),0) - IF(ISNUMBER(VLOOKUP("8.3.1",A2:W103,11,FALSE)),ROUND(VLOOKUP("8.3.1",A2:W103,11,FALSE),4),0) &lt;= 0, "Tak", "Nie")</f>
      </c>
      <c r="L67" s="21">
        <f>=IF(IF(ISNUMBER(VLOOKUP("8.1",A2:W103,12,FALSE)),ROUND(VLOOKUP("8.1",A2:W103,12,FALSE),4),0) - IF(ISNUMBER(VLOOKUP("8.3.1",A2:W103,12,FALSE)),ROUND(VLOOKUP("8.3.1",A2:W103,12,FALSE),4),0) &lt;= 0, "Tak", "Nie")</f>
      </c>
      <c r="M67" s="20">
        <f>=IF(IF(ISNUMBER(VLOOKUP("8.1",A2:W103,13,FALSE)),ROUND(VLOOKUP("8.1",A2:W103,13,FALSE),4),0) - IF(ISNUMBER(VLOOKUP("8.3.1",A2:W103,13,FALSE)),ROUND(VLOOKUP("8.3.1",A2:W103,13,FALSE),4),0) &lt;= 0, "Tak", "Nie")</f>
      </c>
      <c r="N67" s="20">
        <f>=IF(IF(ISNUMBER(VLOOKUP("8.1",A2:W103,14,FALSE)),ROUND(VLOOKUP("8.1",A2:W103,14,FALSE),4),0) - IF(ISNUMBER(VLOOKUP("8.3.1",A2:W103,14,FALSE)),ROUND(VLOOKUP("8.3.1",A2:W103,14,FALSE),4),0) &lt;= 0, "Tak", "Nie")</f>
      </c>
      <c r="O67" s="20">
        <f>=IF(IF(ISNUMBER(VLOOKUP("8.1",A2:W103,15,FALSE)),ROUND(VLOOKUP("8.1",A2:W103,15,FALSE),4),0) - IF(ISNUMBER(VLOOKUP("8.3.1",A2:W103,15,FALSE)),ROUND(VLOOKUP("8.3.1",A2:W103,15,FALSE),4),0) &lt;= 0, "Tak", "Nie")</f>
      </c>
      <c r="P67" s="20">
        <f>=IF(IF(ISNUMBER(VLOOKUP("8.1",A2:W103,16,FALSE)),ROUND(VLOOKUP("8.1",A2:W103,16,FALSE),4),0) - IF(ISNUMBER(VLOOKUP("8.3.1",A2:W103,16,FALSE)),ROUND(VLOOKUP("8.3.1",A2:W103,16,FALSE),4),0) &lt;= 0, "Tak", "Nie")</f>
      </c>
      <c r="Q67" s="20">
        <f>=IF(IF(ISNUMBER(VLOOKUP("8.1",A2:W103,17,FALSE)),ROUND(VLOOKUP("8.1",A2:W103,17,FALSE),4),0) - IF(ISNUMBER(VLOOKUP("8.3.1",A2:W103,17,FALSE)),ROUND(VLOOKUP("8.3.1",A2:W103,17,FALSE),4),0) &lt;= 0, "Tak", "Nie")</f>
      </c>
      <c r="R67" s="20">
        <f>=IF(IF(ISNUMBER(VLOOKUP("8.1",A2:W103,18,FALSE)),ROUND(VLOOKUP("8.1",A2:W103,18,FALSE),4),0) - IF(ISNUMBER(VLOOKUP("8.3.1",A2:W103,18,FALSE)),ROUND(VLOOKUP("8.3.1",A2:W103,18,FALSE),4),0) &lt;= 0, "Tak", "Nie")</f>
      </c>
      <c r="S67" s="20">
        <f>=IF(IF(ISNUMBER(VLOOKUP("8.1",A2:W103,19,FALSE)),ROUND(VLOOKUP("8.1",A2:W103,19,FALSE),4),0) - IF(ISNUMBER(VLOOKUP("8.3.1",A2:W103,19,FALSE)),ROUND(VLOOKUP("8.3.1",A2:W103,19,FALSE),4),0) &lt;= 0, "Tak", "Nie")</f>
      </c>
      <c r="T67" s="20">
        <f>=IF(IF(ISNUMBER(VLOOKUP("8.1",A2:W103,20,FALSE)),ROUND(VLOOKUP("8.1",A2:W103,20,FALSE),4),0) - IF(ISNUMBER(VLOOKUP("8.3.1",A2:W103,20,FALSE)),ROUND(VLOOKUP("8.3.1",A2:W103,20,FALSE),4),0) &lt;= 0, "Tak", "Nie")</f>
      </c>
      <c r="U67" s="20">
        <f>=IF(IF(ISNUMBER(VLOOKUP("8.1",A2:W103,21,FALSE)),ROUND(VLOOKUP("8.1",A2:W103,21,FALSE),4),0) - IF(ISNUMBER(VLOOKUP("8.3.1",A2:W103,21,FALSE)),ROUND(VLOOKUP("8.3.1",A2:W103,21,FALSE),4),0) &lt;= 0, "Tak", "Nie")</f>
      </c>
      <c r="V67" s="20">
        <f>=IF(IF(ISNUMBER(VLOOKUP("8.1",A2:W103,22,FALSE)),ROUND(VLOOKUP("8.1",A2:W103,22,FALSE),4),0) - IF(ISNUMBER(VLOOKUP("8.3.1",A2:W103,22,FALSE)),ROUND(VLOOKUP("8.3.1",A2:W103,22,FALSE),4),0) &lt;= 0, "Tak", "Nie")</f>
      </c>
      <c r="W67" s="20">
        <f>=IF(IF(ISNUMBER(VLOOKUP("8.1",A2:W103,23,FALSE)),ROUND(VLOOKUP("8.1",A2:W103,23,FALSE),4),0) - IF(ISNUMBER(VLOOKUP("8.3.1",A2:W103,23,FALSE)),ROUND(VLOOKUP("8.3.1",A2:W103,23,FALSE),4),0) &lt;= 0, "Tak", "Nie")</f>
      </c>
    </row>
    <row r="68" ht="39.9583320617676" customHeight="1">
      <c r="A68" s="2" t="s">
        <v>149</v>
      </c>
      <c r="B68" s="3" t="s">
        <v>150</v>
      </c>
      <c r="C68" s="4" t="s">
        <v>126</v>
      </c>
      <c r="D68" s="4" t="s">
        <v>126</v>
      </c>
      <c r="E68" s="4" t="s">
        <v>126</v>
      </c>
      <c r="F68" s="4" t="s">
        <v>126</v>
      </c>
      <c r="G68" s="4" t="s">
        <v>126</v>
      </c>
      <c r="H68" s="4" t="s">
        <v>126</v>
      </c>
      <c r="I68" s="4" t="s">
        <v>126</v>
      </c>
      <c r="J68" s="4" t="s">
        <v>126</v>
      </c>
      <c r="K68" s="5" t="s">
        <v>126</v>
      </c>
      <c r="L68" s="5" t="s">
        <v>126</v>
      </c>
      <c r="M68" s="5" t="s">
        <v>126</v>
      </c>
      <c r="N68" s="5" t="s">
        <v>126</v>
      </c>
      <c r="O68" s="5" t="s">
        <v>126</v>
      </c>
      <c r="P68" s="5" t="s">
        <v>126</v>
      </c>
      <c r="Q68" s="5" t="s">
        <v>126</v>
      </c>
      <c r="R68" s="5" t="s">
        <v>126</v>
      </c>
      <c r="S68" s="5" t="s">
        <v>126</v>
      </c>
      <c r="T68" s="5" t="s">
        <v>126</v>
      </c>
      <c r="U68" s="5" t="s">
        <v>126</v>
      </c>
      <c r="V68" s="5" t="s">
        <v>126</v>
      </c>
      <c r="W68" s="5" t="s">
        <v>126</v>
      </c>
    </row>
    <row r="69" ht="39.9583320617676" customHeight="1">
      <c r="A69" s="6" t="s">
        <v>151</v>
      </c>
      <c r="B69" s="7" t="s">
        <v>152</v>
      </c>
      <c r="C69" s="8">
        <v>819703.52</v>
      </c>
      <c r="D69" s="8">
        <v>321020.87</v>
      </c>
      <c r="E69" s="8">
        <v>21685</v>
      </c>
      <c r="F69" s="8">
        <v>152583.89</v>
      </c>
      <c r="G69" s="8">
        <v>0</v>
      </c>
      <c r="H69" s="8">
        <v>402212.58</v>
      </c>
      <c r="I69" s="8">
        <v>0</v>
      </c>
      <c r="J69" s="8">
        <v>0</v>
      </c>
      <c r="K69" s="9">
        <v>0</v>
      </c>
      <c r="L69" s="9">
        <v>0</v>
      </c>
      <c r="M69" s="9">
        <v>0</v>
      </c>
      <c r="N69" s="9">
        <v>0</v>
      </c>
      <c r="O69" s="9">
        <v>0</v>
      </c>
      <c r="P69" s="9">
        <v>0</v>
      </c>
      <c r="Q69" s="9">
        <v>0</v>
      </c>
      <c r="R69" s="9">
        <v>0</v>
      </c>
      <c r="S69" s="9">
        <v>0</v>
      </c>
      <c r="T69" s="9">
        <v>0</v>
      </c>
      <c r="U69" s="9">
        <v>0</v>
      </c>
      <c r="V69" s="9">
        <v>0</v>
      </c>
      <c r="W69" s="9">
        <v>0</v>
      </c>
    </row>
    <row r="70" ht="52.8333320617676" customHeight="1">
      <c r="A70" s="6" t="s">
        <v>153</v>
      </c>
      <c r="B70" s="7" t="s">
        <v>154</v>
      </c>
      <c r="C70" s="8">
        <v>819703.52</v>
      </c>
      <c r="D70" s="8">
        <v>321020.87</v>
      </c>
      <c r="E70" s="8">
        <v>21685</v>
      </c>
      <c r="F70" s="8">
        <v>152583.89</v>
      </c>
      <c r="G70" s="8">
        <v>0</v>
      </c>
      <c r="H70" s="8">
        <v>402212.58</v>
      </c>
      <c r="I70" s="8">
        <v>0</v>
      </c>
      <c r="J70" s="8">
        <v>0</v>
      </c>
      <c r="K70" s="9">
        <v>0</v>
      </c>
      <c r="L70" s="9">
        <v>0</v>
      </c>
      <c r="M70" s="9">
        <v>0</v>
      </c>
      <c r="N70" s="9">
        <v>0</v>
      </c>
      <c r="O70" s="9">
        <v>0</v>
      </c>
      <c r="P70" s="9">
        <v>0</v>
      </c>
      <c r="Q70" s="9">
        <v>0</v>
      </c>
      <c r="R70" s="9">
        <v>0</v>
      </c>
      <c r="S70" s="9">
        <v>0</v>
      </c>
      <c r="T70" s="9">
        <v>0</v>
      </c>
      <c r="U70" s="9">
        <v>0</v>
      </c>
      <c r="V70" s="9">
        <v>0</v>
      </c>
      <c r="W70" s="9">
        <v>0</v>
      </c>
    </row>
    <row r="71" ht="14.2083320617676" customHeight="1">
      <c r="A71" s="6" t="s">
        <v>155</v>
      </c>
      <c r="B71" s="7" t="s">
        <v>156</v>
      </c>
      <c r="C71" s="8">
        <v>776422.08</v>
      </c>
      <c r="D71" s="8">
        <v>278542.45</v>
      </c>
      <c r="E71" s="8">
        <v>20480.75</v>
      </c>
      <c r="F71" s="8">
        <v>132085.39</v>
      </c>
      <c r="G71" s="8">
        <v>0</v>
      </c>
      <c r="H71" s="8">
        <v>402212.58</v>
      </c>
      <c r="I71" s="8">
        <v>0</v>
      </c>
      <c r="J71" s="8">
        <v>0</v>
      </c>
      <c r="K71" s="9">
        <v>0</v>
      </c>
      <c r="L71" s="9">
        <v>0</v>
      </c>
      <c r="M71" s="9">
        <v>0</v>
      </c>
      <c r="N71" s="9">
        <v>0</v>
      </c>
      <c r="O71" s="9">
        <v>0</v>
      </c>
      <c r="P71" s="9">
        <v>0</v>
      </c>
      <c r="Q71" s="9">
        <v>0</v>
      </c>
      <c r="R71" s="9">
        <v>0</v>
      </c>
      <c r="S71" s="9">
        <v>0</v>
      </c>
      <c r="T71" s="9">
        <v>0</v>
      </c>
      <c r="U71" s="9">
        <v>0</v>
      </c>
      <c r="V71" s="9">
        <v>0</v>
      </c>
      <c r="W71" s="9">
        <v>0</v>
      </c>
    </row>
    <row r="72" ht="39.9583320617676" customHeight="1">
      <c r="A72" s="6" t="s">
        <v>157</v>
      </c>
      <c r="B72" s="7" t="s">
        <v>158</v>
      </c>
      <c r="C72" s="8">
        <v>220563</v>
      </c>
      <c r="D72" s="8">
        <v>1421165</v>
      </c>
      <c r="E72" s="8">
        <v>246110.17</v>
      </c>
      <c r="F72" s="8">
        <v>2658901.07</v>
      </c>
      <c r="G72" s="8">
        <v>1499708.25</v>
      </c>
      <c r="H72" s="8">
        <v>3664345.74</v>
      </c>
      <c r="I72" s="8">
        <v>4292591</v>
      </c>
      <c r="J72" s="8">
        <v>5988.6</v>
      </c>
      <c r="K72" s="9">
        <v>5711017</v>
      </c>
      <c r="L72" s="9">
        <v>0</v>
      </c>
      <c r="M72" s="9">
        <v>0</v>
      </c>
      <c r="N72" s="9">
        <v>0</v>
      </c>
      <c r="O72" s="9">
        <v>0</v>
      </c>
      <c r="P72" s="9">
        <v>0</v>
      </c>
      <c r="Q72" s="9">
        <v>0</v>
      </c>
      <c r="R72" s="9">
        <v>0</v>
      </c>
      <c r="S72" s="9">
        <v>0</v>
      </c>
      <c r="T72" s="9">
        <v>0</v>
      </c>
      <c r="U72" s="9">
        <v>0</v>
      </c>
      <c r="V72" s="9">
        <v>0</v>
      </c>
      <c r="W72" s="9">
        <v>0</v>
      </c>
    </row>
    <row r="73" ht="39.9583320617676" customHeight="1">
      <c r="A73" s="6" t="s">
        <v>159</v>
      </c>
      <c r="B73" s="7" t="s">
        <v>160</v>
      </c>
      <c r="C73" s="8">
        <v>220563</v>
      </c>
      <c r="D73" s="8">
        <v>1421165</v>
      </c>
      <c r="E73" s="8">
        <v>246110.17</v>
      </c>
      <c r="F73" s="8">
        <v>2658901.07</v>
      </c>
      <c r="G73" s="8">
        <v>1499708.25</v>
      </c>
      <c r="H73" s="8">
        <v>3664345.74</v>
      </c>
      <c r="I73" s="8">
        <v>4292591</v>
      </c>
      <c r="J73" s="8">
        <v>5988.6</v>
      </c>
      <c r="K73" s="9">
        <v>5711017</v>
      </c>
      <c r="L73" s="9">
        <v>0</v>
      </c>
      <c r="M73" s="9">
        <v>0</v>
      </c>
      <c r="N73" s="9">
        <v>0</v>
      </c>
      <c r="O73" s="9">
        <v>0</v>
      </c>
      <c r="P73" s="9">
        <v>0</v>
      </c>
      <c r="Q73" s="9">
        <v>0</v>
      </c>
      <c r="R73" s="9">
        <v>0</v>
      </c>
      <c r="S73" s="9">
        <v>0</v>
      </c>
      <c r="T73" s="9">
        <v>0</v>
      </c>
      <c r="U73" s="9">
        <v>0</v>
      </c>
      <c r="V73" s="9">
        <v>0</v>
      </c>
      <c r="W73" s="9">
        <v>0</v>
      </c>
    </row>
    <row r="74" ht="14.2083320617676" customHeight="1">
      <c r="A74" s="6" t="s">
        <v>161</v>
      </c>
      <c r="B74" s="7" t="s">
        <v>156</v>
      </c>
      <c r="C74" s="8">
        <v>220563</v>
      </c>
      <c r="D74" s="8">
        <v>1421165</v>
      </c>
      <c r="E74" s="8">
        <v>246110.17</v>
      </c>
      <c r="F74" s="8">
        <v>2658901.07</v>
      </c>
      <c r="G74" s="8">
        <v>1499708.25</v>
      </c>
      <c r="H74" s="8">
        <v>3652602.9</v>
      </c>
      <c r="I74" s="8">
        <v>4287591</v>
      </c>
      <c r="J74" s="8">
        <v>5221.17</v>
      </c>
      <c r="K74" s="9">
        <v>5606077.04</v>
      </c>
      <c r="L74" s="9">
        <v>0</v>
      </c>
      <c r="M74" s="9">
        <v>0</v>
      </c>
      <c r="N74" s="9">
        <v>0</v>
      </c>
      <c r="O74" s="9">
        <v>0</v>
      </c>
      <c r="P74" s="9">
        <v>0</v>
      </c>
      <c r="Q74" s="9">
        <v>0</v>
      </c>
      <c r="R74" s="9">
        <v>0</v>
      </c>
      <c r="S74" s="9">
        <v>0</v>
      </c>
      <c r="T74" s="9">
        <v>0</v>
      </c>
      <c r="U74" s="9">
        <v>0</v>
      </c>
      <c r="V74" s="9">
        <v>0</v>
      </c>
      <c r="W74" s="9">
        <v>0</v>
      </c>
    </row>
    <row r="75" ht="39.9583320617676" customHeight="1">
      <c r="A75" s="6" t="s">
        <v>162</v>
      </c>
      <c r="B75" s="7" t="s">
        <v>163</v>
      </c>
      <c r="C75" s="8">
        <v>554262.82</v>
      </c>
      <c r="D75" s="8">
        <v>570436.57</v>
      </c>
      <c r="E75" s="8">
        <v>49057.13</v>
      </c>
      <c r="F75" s="8">
        <v>133367</v>
      </c>
      <c r="G75" s="8">
        <v>0</v>
      </c>
      <c r="H75" s="8">
        <v>0</v>
      </c>
      <c r="I75" s="8">
        <v>0</v>
      </c>
      <c r="J75" s="8">
        <v>0</v>
      </c>
      <c r="K75" s="9">
        <v>0</v>
      </c>
      <c r="L75" s="9">
        <v>0</v>
      </c>
      <c r="M75" s="9">
        <v>0</v>
      </c>
      <c r="N75" s="9">
        <v>0</v>
      </c>
      <c r="O75" s="9">
        <v>0</v>
      </c>
      <c r="P75" s="9">
        <v>0</v>
      </c>
      <c r="Q75" s="9">
        <v>0</v>
      </c>
      <c r="R75" s="9">
        <v>0</v>
      </c>
      <c r="S75" s="9">
        <v>0</v>
      </c>
      <c r="T75" s="9">
        <v>0</v>
      </c>
      <c r="U75" s="9">
        <v>0</v>
      </c>
      <c r="V75" s="9">
        <v>0</v>
      </c>
      <c r="W75" s="9">
        <v>0</v>
      </c>
    </row>
    <row r="76" ht="39.9583320617676" customHeight="1">
      <c r="A76" s="6" t="s">
        <v>164</v>
      </c>
      <c r="B76" s="7" t="s">
        <v>165</v>
      </c>
      <c r="C76" s="8">
        <v>554262.82</v>
      </c>
      <c r="D76" s="8">
        <v>570436.57</v>
      </c>
      <c r="E76" s="8">
        <v>49057.13</v>
      </c>
      <c r="F76" s="8">
        <v>133367</v>
      </c>
      <c r="G76" s="8">
        <v>0</v>
      </c>
      <c r="H76" s="8">
        <v>0</v>
      </c>
      <c r="I76" s="8">
        <v>0</v>
      </c>
      <c r="J76" s="8">
        <v>0</v>
      </c>
      <c r="K76" s="9">
        <v>0</v>
      </c>
      <c r="L76" s="9">
        <v>0</v>
      </c>
      <c r="M76" s="9">
        <v>0</v>
      </c>
      <c r="N76" s="9">
        <v>0</v>
      </c>
      <c r="O76" s="9">
        <v>0</v>
      </c>
      <c r="P76" s="9">
        <v>0</v>
      </c>
      <c r="Q76" s="9">
        <v>0</v>
      </c>
      <c r="R76" s="9">
        <v>0</v>
      </c>
      <c r="S76" s="9">
        <v>0</v>
      </c>
      <c r="T76" s="9">
        <v>0</v>
      </c>
      <c r="U76" s="9">
        <v>0</v>
      </c>
      <c r="V76" s="9">
        <v>0</v>
      </c>
      <c r="W76" s="9">
        <v>0</v>
      </c>
    </row>
    <row r="77" ht="27.0833320617676" customHeight="1">
      <c r="A77" s="6" t="s">
        <v>166</v>
      </c>
      <c r="B77" s="7" t="s">
        <v>167</v>
      </c>
      <c r="C77" s="8">
        <v>510981.38</v>
      </c>
      <c r="D77" s="8">
        <v>529131.73</v>
      </c>
      <c r="E77" s="8">
        <v>47442.84</v>
      </c>
      <c r="F77" s="8">
        <v>112868.49</v>
      </c>
      <c r="G77" s="8">
        <v>0</v>
      </c>
      <c r="H77" s="8">
        <v>0</v>
      </c>
      <c r="I77" s="8">
        <v>0</v>
      </c>
      <c r="J77" s="8">
        <v>0</v>
      </c>
      <c r="K77" s="9">
        <v>0</v>
      </c>
      <c r="L77" s="9">
        <v>0</v>
      </c>
      <c r="M77" s="9">
        <v>0</v>
      </c>
      <c r="N77" s="9">
        <v>0</v>
      </c>
      <c r="O77" s="9">
        <v>0</v>
      </c>
      <c r="P77" s="9">
        <v>0</v>
      </c>
      <c r="Q77" s="9">
        <v>0</v>
      </c>
      <c r="R77" s="9">
        <v>0</v>
      </c>
      <c r="S77" s="9">
        <v>0</v>
      </c>
      <c r="T77" s="9">
        <v>0</v>
      </c>
      <c r="U77" s="9">
        <v>0</v>
      </c>
      <c r="V77" s="9">
        <v>0</v>
      </c>
      <c r="W77" s="9">
        <v>0</v>
      </c>
    </row>
    <row r="78" ht="39.9583320617676" customHeight="1">
      <c r="A78" s="6" t="s">
        <v>168</v>
      </c>
      <c r="B78" s="7" t="s">
        <v>169</v>
      </c>
      <c r="C78" s="8">
        <v>2748586.51</v>
      </c>
      <c r="D78" s="8">
        <v>1069844.21</v>
      </c>
      <c r="E78" s="8">
        <v>3367037.49</v>
      </c>
      <c r="F78" s="8">
        <v>1018416.81</v>
      </c>
      <c r="G78" s="8">
        <v>3206877.72</v>
      </c>
      <c r="H78" s="8">
        <v>3810262.7</v>
      </c>
      <c r="I78" s="8">
        <v>8867533.16</v>
      </c>
      <c r="J78" s="8">
        <v>3512707.6</v>
      </c>
      <c r="K78" s="9">
        <v>7227075</v>
      </c>
      <c r="L78" s="9">
        <v>0</v>
      </c>
      <c r="M78" s="9">
        <v>0</v>
      </c>
      <c r="N78" s="9">
        <v>0</v>
      </c>
      <c r="O78" s="9">
        <v>0</v>
      </c>
      <c r="P78" s="9">
        <v>0</v>
      </c>
      <c r="Q78" s="9">
        <v>0</v>
      </c>
      <c r="R78" s="9">
        <v>0</v>
      </c>
      <c r="S78" s="9">
        <v>0</v>
      </c>
      <c r="T78" s="9">
        <v>0</v>
      </c>
      <c r="U78" s="9">
        <v>0</v>
      </c>
      <c r="V78" s="9">
        <v>0</v>
      </c>
      <c r="W78" s="9">
        <v>0</v>
      </c>
    </row>
    <row r="79" ht="39.9583320617676" customHeight="1">
      <c r="A79" s="6" t="s">
        <v>170</v>
      </c>
      <c r="B79" s="7" t="s">
        <v>171</v>
      </c>
      <c r="C79" s="8">
        <v>2748586.51</v>
      </c>
      <c r="D79" s="8">
        <v>1069844.21</v>
      </c>
      <c r="E79" s="8">
        <v>3367037.49</v>
      </c>
      <c r="F79" s="8">
        <v>1018416.81</v>
      </c>
      <c r="G79" s="8">
        <v>3206877.72</v>
      </c>
      <c r="H79" s="8">
        <v>3810262.7</v>
      </c>
      <c r="I79" s="8">
        <v>8867533.16</v>
      </c>
      <c r="J79" s="8">
        <v>3512707.6</v>
      </c>
      <c r="K79" s="9">
        <v>7227075</v>
      </c>
      <c r="L79" s="9">
        <v>0</v>
      </c>
      <c r="M79" s="9">
        <v>0</v>
      </c>
      <c r="N79" s="9">
        <v>0</v>
      </c>
      <c r="O79" s="9">
        <v>0</v>
      </c>
      <c r="P79" s="9">
        <v>0</v>
      </c>
      <c r="Q79" s="9">
        <v>0</v>
      </c>
      <c r="R79" s="9">
        <v>0</v>
      </c>
      <c r="S79" s="9">
        <v>0</v>
      </c>
      <c r="T79" s="9">
        <v>0</v>
      </c>
      <c r="U79" s="9">
        <v>0</v>
      </c>
      <c r="V79" s="9">
        <v>0</v>
      </c>
      <c r="W79" s="9">
        <v>0</v>
      </c>
    </row>
    <row r="80" ht="27.0833320617676" customHeight="1">
      <c r="A80" s="6" t="s">
        <v>172</v>
      </c>
      <c r="B80" s="7" t="s">
        <v>167</v>
      </c>
      <c r="C80" s="8">
        <v>1625860.37</v>
      </c>
      <c r="D80" s="8">
        <v>503980.86</v>
      </c>
      <c r="E80" s="8">
        <v>1816156.25</v>
      </c>
      <c r="F80" s="8">
        <v>852498.81</v>
      </c>
      <c r="G80" s="8">
        <v>2243919.68</v>
      </c>
      <c r="H80" s="8">
        <v>3276248.19</v>
      </c>
      <c r="I80" s="8">
        <v>6405570</v>
      </c>
      <c r="J80" s="8">
        <v>3467024.7</v>
      </c>
      <c r="K80" s="9">
        <v>3855699.61</v>
      </c>
      <c r="L80" s="9">
        <v>0</v>
      </c>
      <c r="M80" s="9">
        <v>0</v>
      </c>
      <c r="N80" s="9">
        <v>0</v>
      </c>
      <c r="O80" s="9">
        <v>0</v>
      </c>
      <c r="P80" s="9">
        <v>0</v>
      </c>
      <c r="Q80" s="9">
        <v>0</v>
      </c>
      <c r="R80" s="9">
        <v>0</v>
      </c>
      <c r="S80" s="9">
        <v>0</v>
      </c>
      <c r="T80" s="9">
        <v>0</v>
      </c>
      <c r="U80" s="9">
        <v>0</v>
      </c>
      <c r="V80" s="9">
        <v>0</v>
      </c>
      <c r="W80" s="9">
        <v>0</v>
      </c>
    </row>
    <row r="81" ht="27.0833320617676" customHeight="1">
      <c r="A81" s="2" t="s">
        <v>173</v>
      </c>
      <c r="B81" s="3" t="s">
        <v>174</v>
      </c>
      <c r="C81" s="4" t="s">
        <v>126</v>
      </c>
      <c r="D81" s="4" t="s">
        <v>126</v>
      </c>
      <c r="E81" s="4" t="s">
        <v>126</v>
      </c>
      <c r="F81" s="4" t="s">
        <v>126</v>
      </c>
      <c r="G81" s="4" t="s">
        <v>126</v>
      </c>
      <c r="H81" s="4" t="s">
        <v>126</v>
      </c>
      <c r="I81" s="4" t="s">
        <v>126</v>
      </c>
      <c r="J81" s="4" t="s">
        <v>126</v>
      </c>
      <c r="K81" s="5" t="s">
        <v>126</v>
      </c>
      <c r="L81" s="5" t="s">
        <v>126</v>
      </c>
      <c r="M81" s="5" t="s">
        <v>126</v>
      </c>
      <c r="N81" s="5" t="s">
        <v>126</v>
      </c>
      <c r="O81" s="5" t="s">
        <v>126</v>
      </c>
      <c r="P81" s="5" t="s">
        <v>126</v>
      </c>
      <c r="Q81" s="5" t="s">
        <v>126</v>
      </c>
      <c r="R81" s="5" t="s">
        <v>126</v>
      </c>
      <c r="S81" s="5" t="s">
        <v>126</v>
      </c>
      <c r="T81" s="5" t="s">
        <v>126</v>
      </c>
      <c r="U81" s="5" t="s">
        <v>126</v>
      </c>
      <c r="V81" s="5" t="s">
        <v>126</v>
      </c>
      <c r="W81" s="5" t="s">
        <v>126</v>
      </c>
    </row>
    <row r="82" ht="27.0833320617676" customHeight="1">
      <c r="A82" s="6" t="s">
        <v>175</v>
      </c>
      <c r="B82" s="7" t="s">
        <v>176</v>
      </c>
      <c r="C82" s="10">
        <f>=IF(ISNUMBER(VLOOKUP("10.1.1",A2:W103,3,FALSE)),ROUND(VLOOKUP("10.1.1",A2:W103,3,FALSE),4),0) + IF(ISNUMBER(VLOOKUP("10.1.2",A2:W103,3,FALSE)),ROUND(VLOOKUP("10.1.2",A2:W103,3,FALSE),4),0)</f>
      </c>
      <c r="D82" s="10">
        <f>=IF(ISNUMBER(VLOOKUP("10.1.1",A2:W103,4,FALSE)),ROUND(VLOOKUP("10.1.1",A2:W103,4,FALSE),4),0) + IF(ISNUMBER(VLOOKUP("10.1.2",A2:W103,4,FALSE)),ROUND(VLOOKUP("10.1.2",A2:W103,4,FALSE),4),0)</f>
      </c>
      <c r="E82" s="10">
        <f>=IF(ISNUMBER(VLOOKUP("10.1.1",A2:W103,5,FALSE)),ROUND(VLOOKUP("10.1.1",A2:W103,5,FALSE),4),0) + IF(ISNUMBER(VLOOKUP("10.1.2",A2:W103,5,FALSE)),ROUND(VLOOKUP("10.1.2",A2:W103,5,FALSE),4),0)</f>
      </c>
      <c r="F82" s="10">
        <f>=IF(ISNUMBER(VLOOKUP("10.1.1",A2:W103,6,FALSE)),ROUND(VLOOKUP("10.1.1",A2:W103,6,FALSE),4),0) + IF(ISNUMBER(VLOOKUP("10.1.2",A2:W103,6,FALSE)),ROUND(VLOOKUP("10.1.2",A2:W103,6,FALSE),4),0)</f>
      </c>
      <c r="G82" s="10">
        <f>=IF(ISNUMBER(VLOOKUP("10.1.1",A2:W103,7,FALSE)),ROUND(VLOOKUP("10.1.1",A2:W103,7,FALSE),4),0) + IF(ISNUMBER(VLOOKUP("10.1.2",A2:W103,7,FALSE)),ROUND(VLOOKUP("10.1.2",A2:W103,7,FALSE),4),0)</f>
      </c>
      <c r="H82" s="10">
        <f>=IF(ISNUMBER(VLOOKUP("10.1.1",A2:W103,8,FALSE)),ROUND(VLOOKUP("10.1.1",A2:W103,8,FALSE),4),0) + IF(ISNUMBER(VLOOKUP("10.1.2",A2:W103,8,FALSE)),ROUND(VLOOKUP("10.1.2",A2:W103,8,FALSE),4),0)</f>
      </c>
      <c r="I82" s="10">
        <f>=IF(ISNUMBER(VLOOKUP("10.1.1",A2:W103,9,FALSE)),ROUND(VLOOKUP("10.1.1",A2:W103,9,FALSE),4),0) + IF(ISNUMBER(VLOOKUP("10.1.2",A2:W103,9,FALSE)),ROUND(VLOOKUP("10.1.2",A2:W103,9,FALSE),4),0)</f>
      </c>
      <c r="J82" s="10">
        <f>=IF(ISNUMBER(VLOOKUP("10.1.1",A2:W103,10,FALSE)),ROUND(VLOOKUP("10.1.1",A2:W103,10,FALSE),4),0) + IF(ISNUMBER(VLOOKUP("10.1.2",A2:W103,10,FALSE)),ROUND(VLOOKUP("10.1.2",A2:W103,10,FALSE),4),0)</f>
      </c>
      <c r="K82" s="11">
        <f>=IF(ISNUMBER(VLOOKUP("10.1.1",A2:W103,11,FALSE)),ROUND(VLOOKUP("10.1.1",A2:W103,11,FALSE),4),0) + IF(ISNUMBER(VLOOKUP("10.1.2",A2:W103,11,FALSE)),ROUND(VLOOKUP("10.1.2",A2:W103,11,FALSE),4),0)</f>
      </c>
      <c r="L82" s="11">
        <f>=IF(ISNUMBER(VLOOKUP("10.1.1",A2:W103,12,FALSE)),ROUND(VLOOKUP("10.1.1",A2:W103,12,FALSE),4),0) + IF(ISNUMBER(VLOOKUP("10.1.2",A2:W103,12,FALSE)),ROUND(VLOOKUP("10.1.2",A2:W103,12,FALSE),4),0)</f>
      </c>
      <c r="M82" s="11">
        <f>=IF(ISNUMBER(VLOOKUP("10.1.1",A2:W103,13,FALSE)),ROUND(VLOOKUP("10.1.1",A2:W103,13,FALSE),4),0) + IF(ISNUMBER(VLOOKUP("10.1.2",A2:W103,13,FALSE)),ROUND(VLOOKUP("10.1.2",A2:W103,13,FALSE),4),0)</f>
      </c>
      <c r="N82" s="11">
        <f>=IF(ISNUMBER(VLOOKUP("10.1.1",A2:W103,14,FALSE)),ROUND(VLOOKUP("10.1.1",A2:W103,14,FALSE),4),0) + IF(ISNUMBER(VLOOKUP("10.1.2",A2:W103,14,FALSE)),ROUND(VLOOKUP("10.1.2",A2:W103,14,FALSE),4),0)</f>
      </c>
      <c r="O82" s="11">
        <f>=IF(ISNUMBER(VLOOKUP("10.1.1",A2:W103,15,FALSE)),ROUND(VLOOKUP("10.1.1",A2:W103,15,FALSE),4),0) + IF(ISNUMBER(VLOOKUP("10.1.2",A2:W103,15,FALSE)),ROUND(VLOOKUP("10.1.2",A2:W103,15,FALSE),4),0)</f>
      </c>
      <c r="P82" s="11">
        <f>=IF(ISNUMBER(VLOOKUP("10.1.1",A2:W103,16,FALSE)),ROUND(VLOOKUP("10.1.1",A2:W103,16,FALSE),4),0) + IF(ISNUMBER(VLOOKUP("10.1.2",A2:W103,16,FALSE)),ROUND(VLOOKUP("10.1.2",A2:W103,16,FALSE),4),0)</f>
      </c>
      <c r="Q82" s="11">
        <f>=IF(ISNUMBER(VLOOKUP("10.1.1",A2:W103,17,FALSE)),ROUND(VLOOKUP("10.1.1",A2:W103,17,FALSE),4),0) + IF(ISNUMBER(VLOOKUP("10.1.2",A2:W103,17,FALSE)),ROUND(VLOOKUP("10.1.2",A2:W103,17,FALSE),4),0)</f>
      </c>
      <c r="R82" s="11">
        <f>=IF(ISNUMBER(VLOOKUP("10.1.1",A2:W103,18,FALSE)),ROUND(VLOOKUP("10.1.1",A2:W103,18,FALSE),4),0) + IF(ISNUMBER(VLOOKUP("10.1.2",A2:W103,18,FALSE)),ROUND(VLOOKUP("10.1.2",A2:W103,18,FALSE),4),0)</f>
      </c>
      <c r="S82" s="11">
        <f>=IF(ISNUMBER(VLOOKUP("10.1.1",A2:W103,19,FALSE)),ROUND(VLOOKUP("10.1.1",A2:W103,19,FALSE),4),0) + IF(ISNUMBER(VLOOKUP("10.1.2",A2:W103,19,FALSE)),ROUND(VLOOKUP("10.1.2",A2:W103,19,FALSE),4),0)</f>
      </c>
      <c r="T82" s="11">
        <f>=IF(ISNUMBER(VLOOKUP("10.1.1",A2:W103,20,FALSE)),ROUND(VLOOKUP("10.1.1",A2:W103,20,FALSE),4),0) + IF(ISNUMBER(VLOOKUP("10.1.2",A2:W103,20,FALSE)),ROUND(VLOOKUP("10.1.2",A2:W103,20,FALSE),4),0)</f>
      </c>
      <c r="U82" s="11">
        <f>=IF(ISNUMBER(VLOOKUP("10.1.1",A2:W103,21,FALSE)),ROUND(VLOOKUP("10.1.1",A2:W103,21,FALSE),4),0) + IF(ISNUMBER(VLOOKUP("10.1.2",A2:W103,21,FALSE)),ROUND(VLOOKUP("10.1.2",A2:W103,21,FALSE),4),0)</f>
      </c>
      <c r="V82" s="11">
        <f>=IF(ISNUMBER(VLOOKUP("10.1.1",A2:W103,22,FALSE)),ROUND(VLOOKUP("10.1.1",A2:W103,22,FALSE),4),0) + IF(ISNUMBER(VLOOKUP("10.1.2",A2:W103,22,FALSE)),ROUND(VLOOKUP("10.1.2",A2:W103,22,FALSE),4),0)</f>
      </c>
      <c r="W82" s="11">
        <f>=IF(ISNUMBER(VLOOKUP("10.1.1",A2:W103,23,FALSE)),ROUND(VLOOKUP("10.1.1",A2:W103,23,FALSE),4),0) + IF(ISNUMBER(VLOOKUP("10.1.2",A2:W103,23,FALSE)),ROUND(VLOOKUP("10.1.2",A2:W103,23,FALSE),4),0)</f>
      </c>
    </row>
    <row r="83" ht="14.2083320617676" customHeight="1">
      <c r="A83" s="6" t="s">
        <v>177</v>
      </c>
      <c r="B83" s="7" t="s">
        <v>178</v>
      </c>
      <c r="C83" s="10">
        <v>0</v>
      </c>
      <c r="D83" s="10">
        <v>0</v>
      </c>
      <c r="E83" s="10">
        <v>0</v>
      </c>
      <c r="F83" s="10">
        <v>0</v>
      </c>
      <c r="G83" s="10">
        <v>889076</v>
      </c>
      <c r="H83" s="10">
        <v>889076</v>
      </c>
      <c r="I83" s="10">
        <v>889076</v>
      </c>
      <c r="J83" s="10">
        <v>889076</v>
      </c>
      <c r="K83" s="11">
        <v>0</v>
      </c>
      <c r="L83" s="11">
        <v>0</v>
      </c>
      <c r="M83" s="11">
        <v>0</v>
      </c>
      <c r="N83" s="11">
        <v>0</v>
      </c>
      <c r="O83" s="11">
        <v>0</v>
      </c>
      <c r="P83" s="11">
        <v>0</v>
      </c>
      <c r="Q83" s="11">
        <v>0</v>
      </c>
      <c r="R83" s="11">
        <v>0</v>
      </c>
      <c r="S83" s="11">
        <v>0</v>
      </c>
      <c r="T83" s="11">
        <v>0</v>
      </c>
      <c r="U83" s="11">
        <v>0</v>
      </c>
      <c r="V83" s="11">
        <v>0</v>
      </c>
      <c r="W83" s="11">
        <v>0</v>
      </c>
    </row>
    <row r="84" ht="14.2083320617676" customHeight="1">
      <c r="A84" s="6" t="s">
        <v>179</v>
      </c>
      <c r="B84" s="7" t="s">
        <v>180</v>
      </c>
      <c r="C84" s="10">
        <v>0</v>
      </c>
      <c r="D84" s="10">
        <v>0</v>
      </c>
      <c r="E84" s="10">
        <v>0</v>
      </c>
      <c r="F84" s="10">
        <v>0</v>
      </c>
      <c r="G84" s="10">
        <v>23298938.99</v>
      </c>
      <c r="H84" s="10">
        <v>28806960.24</v>
      </c>
      <c r="I84" s="10">
        <v>34538153.49</v>
      </c>
      <c r="J84" s="10">
        <v>34538153.49</v>
      </c>
      <c r="K84" s="11">
        <v>17629520.89</v>
      </c>
      <c r="L84" s="11">
        <v>0</v>
      </c>
      <c r="M84" s="11">
        <v>0</v>
      </c>
      <c r="N84" s="11">
        <v>0</v>
      </c>
      <c r="O84" s="11">
        <v>0</v>
      </c>
      <c r="P84" s="11">
        <v>0</v>
      </c>
      <c r="Q84" s="11">
        <v>0</v>
      </c>
      <c r="R84" s="11">
        <v>0</v>
      </c>
      <c r="S84" s="11">
        <v>0</v>
      </c>
      <c r="T84" s="11">
        <v>0</v>
      </c>
      <c r="U84" s="11">
        <v>0</v>
      </c>
      <c r="V84" s="11">
        <v>0</v>
      </c>
      <c r="W84" s="11">
        <v>0</v>
      </c>
    </row>
    <row r="85" ht="27.0833320617676" customHeight="1">
      <c r="A85" s="6" t="s">
        <v>181</v>
      </c>
      <c r="B85" s="7" t="s">
        <v>182</v>
      </c>
      <c r="C85" s="8">
        <v>0</v>
      </c>
      <c r="D85" s="8">
        <v>0</v>
      </c>
      <c r="E85" s="8">
        <v>0</v>
      </c>
      <c r="F85" s="8">
        <v>0</v>
      </c>
      <c r="G85" s="8">
        <v>0</v>
      </c>
      <c r="H85" s="8">
        <v>0</v>
      </c>
      <c r="I85" s="8">
        <v>0</v>
      </c>
      <c r="J85" s="8">
        <v>0</v>
      </c>
      <c r="K85" s="9">
        <v>0</v>
      </c>
      <c r="L85" s="9">
        <v>0</v>
      </c>
      <c r="M85" s="9">
        <v>0</v>
      </c>
      <c r="N85" s="9">
        <v>0</v>
      </c>
      <c r="O85" s="9">
        <v>0</v>
      </c>
      <c r="P85" s="9">
        <v>0</v>
      </c>
      <c r="Q85" s="9">
        <v>0</v>
      </c>
      <c r="R85" s="9">
        <v>0</v>
      </c>
      <c r="S85" s="9">
        <v>0</v>
      </c>
      <c r="T85" s="9">
        <v>0</v>
      </c>
      <c r="U85" s="9">
        <v>0</v>
      </c>
      <c r="V85" s="9">
        <v>0</v>
      </c>
      <c r="W85" s="9">
        <v>0</v>
      </c>
    </row>
    <row r="86" ht="39.9583320617676" customHeight="1">
      <c r="A86" s="6" t="s">
        <v>183</v>
      </c>
      <c r="B86" s="7" t="s">
        <v>184</v>
      </c>
      <c r="C86" s="8">
        <v>0</v>
      </c>
      <c r="D86" s="8">
        <v>0</v>
      </c>
      <c r="E86" s="8">
        <v>0</v>
      </c>
      <c r="F86" s="8">
        <v>0</v>
      </c>
      <c r="G86" s="8">
        <v>0</v>
      </c>
      <c r="H86" s="8">
        <v>0</v>
      </c>
      <c r="I86" s="8">
        <v>0</v>
      </c>
      <c r="J86" s="8">
        <v>0</v>
      </c>
      <c r="K86" s="9">
        <v>0</v>
      </c>
      <c r="L86" s="9">
        <v>0</v>
      </c>
      <c r="M86" s="9">
        <v>0</v>
      </c>
      <c r="N86" s="9">
        <v>0</v>
      </c>
      <c r="O86" s="9">
        <v>0</v>
      </c>
      <c r="P86" s="9">
        <v>0</v>
      </c>
      <c r="Q86" s="9">
        <v>0</v>
      </c>
      <c r="R86" s="9">
        <v>0</v>
      </c>
      <c r="S86" s="9">
        <v>0</v>
      </c>
      <c r="T86" s="9">
        <v>0</v>
      </c>
      <c r="U86" s="9">
        <v>0</v>
      </c>
      <c r="V86" s="9">
        <v>0</v>
      </c>
      <c r="W86" s="9">
        <v>0</v>
      </c>
    </row>
    <row r="87" ht="52.8333320617676" customHeight="1">
      <c r="A87" s="6" t="s">
        <v>185</v>
      </c>
      <c r="B87" s="7" t="s">
        <v>186</v>
      </c>
      <c r="C87" s="8">
        <v>0</v>
      </c>
      <c r="D87" s="8">
        <v>0</v>
      </c>
      <c r="E87" s="8">
        <v>0</v>
      </c>
      <c r="F87" s="8">
        <v>0</v>
      </c>
      <c r="G87" s="8">
        <v>0</v>
      </c>
      <c r="H87" s="8">
        <v>0</v>
      </c>
      <c r="I87" s="8">
        <v>0</v>
      </c>
      <c r="J87" s="8">
        <v>0</v>
      </c>
      <c r="K87" s="9">
        <v>0</v>
      </c>
      <c r="L87" s="9">
        <v>0</v>
      </c>
      <c r="M87" s="9">
        <v>0</v>
      </c>
      <c r="N87" s="9">
        <v>0</v>
      </c>
      <c r="O87" s="9">
        <v>0</v>
      </c>
      <c r="P87" s="9">
        <v>0</v>
      </c>
      <c r="Q87" s="9">
        <v>0</v>
      </c>
      <c r="R87" s="9">
        <v>0</v>
      </c>
      <c r="S87" s="9">
        <v>0</v>
      </c>
      <c r="T87" s="9">
        <v>0</v>
      </c>
      <c r="U87" s="9">
        <v>0</v>
      </c>
      <c r="V87" s="9">
        <v>0</v>
      </c>
      <c r="W87" s="9">
        <v>0</v>
      </c>
    </row>
    <row r="88" ht="39.9583320617676" customHeight="1">
      <c r="A88" s="6" t="s">
        <v>187</v>
      </c>
      <c r="B88" s="7" t="s">
        <v>188</v>
      </c>
      <c r="C88" s="8">
        <v>0</v>
      </c>
      <c r="D88" s="8">
        <v>0</v>
      </c>
      <c r="E88" s="8">
        <v>0</v>
      </c>
      <c r="F88" s="8">
        <v>0</v>
      </c>
      <c r="G88" s="8">
        <v>0</v>
      </c>
      <c r="H88" s="8">
        <v>0</v>
      </c>
      <c r="I88" s="8">
        <v>0</v>
      </c>
      <c r="J88" s="8">
        <v>0</v>
      </c>
      <c r="K88" s="9">
        <v>0</v>
      </c>
      <c r="L88" s="9">
        <v>0</v>
      </c>
      <c r="M88" s="9">
        <v>0</v>
      </c>
      <c r="N88" s="9">
        <v>0</v>
      </c>
      <c r="O88" s="9">
        <v>0</v>
      </c>
      <c r="P88" s="9">
        <v>0</v>
      </c>
      <c r="Q88" s="9">
        <v>0</v>
      </c>
      <c r="R88" s="9">
        <v>0</v>
      </c>
      <c r="S88" s="9">
        <v>0</v>
      </c>
      <c r="T88" s="9">
        <v>0</v>
      </c>
      <c r="U88" s="9">
        <v>0</v>
      </c>
      <c r="V88" s="9">
        <v>0</v>
      </c>
      <c r="W88" s="9">
        <v>0</v>
      </c>
    </row>
    <row r="89" ht="27.0833320617676" customHeight="1">
      <c r="A89" s="6" t="s">
        <v>189</v>
      </c>
      <c r="B89" s="7" t="s">
        <v>190</v>
      </c>
      <c r="C89" s="10">
        <v>0</v>
      </c>
      <c r="D89" s="10">
        <v>2878921.83</v>
      </c>
      <c r="E89" s="10">
        <v>1472500.15</v>
      </c>
      <c r="F89" s="10">
        <v>3533299</v>
      </c>
      <c r="G89" s="10">
        <v>1709500</v>
      </c>
      <c r="H89" s="10">
        <v>2693651</v>
      </c>
      <c r="I89" s="10">
        <v>1850000</v>
      </c>
      <c r="J89" s="10">
        <v>1850000</v>
      </c>
      <c r="K89" s="11">
        <v>1850000</v>
      </c>
      <c r="L89" s="11">
        <v>6274769.1</v>
      </c>
      <c r="M89" s="11">
        <v>850000</v>
      </c>
      <c r="N89" s="11">
        <v>1850000</v>
      </c>
      <c r="O89" s="11">
        <v>1900568.02</v>
      </c>
      <c r="P89" s="11">
        <v>1830000</v>
      </c>
      <c r="Q89" s="11">
        <v>1790000</v>
      </c>
      <c r="R89" s="11">
        <v>1880000</v>
      </c>
      <c r="S89" s="11">
        <v>2000000</v>
      </c>
      <c r="T89" s="11">
        <v>1500000</v>
      </c>
      <c r="U89" s="11">
        <v>1500000</v>
      </c>
      <c r="V89" s="11">
        <v>1500000</v>
      </c>
      <c r="W89" s="11">
        <v>0</v>
      </c>
    </row>
    <row r="90" ht="14.2083320617676" customHeight="1">
      <c r="A90" s="6" t="s">
        <v>191</v>
      </c>
      <c r="B90" s="7" t="s">
        <v>192</v>
      </c>
      <c r="C90" s="10">
        <f>=IF(ISNUMBER(VLOOKUP("10.7.1",A2:W103,3,FALSE)),ROUND(VLOOKUP("10.7.1",A2:W103,3,FALSE),4),0) + IF(ISNUMBER(VLOOKUP("10.7.2",A2:W103,3,FALSE)),ROUND(VLOOKUP("10.7.2",A2:W103,3,FALSE),4),0) + IF(ISNUMBER(VLOOKUP("10.7.3",A2:W103,3,FALSE)),ROUND(VLOOKUP("10.7.3",A2:W103,3,FALSE),4),0)</f>
      </c>
      <c r="D90" s="10">
        <f>=IF(ISNUMBER(VLOOKUP("10.7.1",A2:W103,4,FALSE)),ROUND(VLOOKUP("10.7.1",A2:W103,4,FALSE),4),0) + IF(ISNUMBER(VLOOKUP("10.7.2",A2:W103,4,FALSE)),ROUND(VLOOKUP("10.7.2",A2:W103,4,FALSE),4),0) + IF(ISNUMBER(VLOOKUP("10.7.3",A2:W103,4,FALSE)),ROUND(VLOOKUP("10.7.3",A2:W103,4,FALSE),4),0)</f>
      </c>
      <c r="E90" s="10">
        <f>=IF(ISNUMBER(VLOOKUP("10.7.1",A2:W103,5,FALSE)),ROUND(VLOOKUP("10.7.1",A2:W103,5,FALSE),4),0) + IF(ISNUMBER(VLOOKUP("10.7.2",A2:W103,5,FALSE)),ROUND(VLOOKUP("10.7.2",A2:W103,5,FALSE),4),0) + IF(ISNUMBER(VLOOKUP("10.7.3",A2:W103,5,FALSE)),ROUND(VLOOKUP("10.7.3",A2:W103,5,FALSE),4),0)</f>
      </c>
      <c r="F90" s="10">
        <f>=IF(ISNUMBER(VLOOKUP("10.7.1",A2:W103,6,FALSE)),ROUND(VLOOKUP("10.7.1",A2:W103,6,FALSE),4),0) + IF(ISNUMBER(VLOOKUP("10.7.2",A2:W103,6,FALSE)),ROUND(VLOOKUP("10.7.2",A2:W103,6,FALSE),4),0) + IF(ISNUMBER(VLOOKUP("10.7.3",A2:W103,6,FALSE)),ROUND(VLOOKUP("10.7.3",A2:W103,6,FALSE),4),0)</f>
      </c>
      <c r="G90" s="10">
        <f>=IF(ISNUMBER(VLOOKUP("10.7.1",A2:W103,7,FALSE)),ROUND(VLOOKUP("10.7.1",A2:W103,7,FALSE),4),0) + IF(ISNUMBER(VLOOKUP("10.7.2",A2:W103,7,FALSE)),ROUND(VLOOKUP("10.7.2",A2:W103,7,FALSE),4),0) + IF(ISNUMBER(VLOOKUP("10.7.3",A2:W103,7,FALSE)),ROUND(VLOOKUP("10.7.3",A2:W103,7,FALSE),4),0)</f>
      </c>
      <c r="H90" s="10">
        <f>=IF(ISNUMBER(VLOOKUP("10.7.1",A2:W103,8,FALSE)),ROUND(VLOOKUP("10.7.1",A2:W103,8,FALSE),4),0) + IF(ISNUMBER(VLOOKUP("10.7.2",A2:W103,8,FALSE)),ROUND(VLOOKUP("10.7.2",A2:W103,8,FALSE),4),0) + IF(ISNUMBER(VLOOKUP("10.7.3",A2:W103,8,FALSE)),ROUND(VLOOKUP("10.7.3",A2:W103,8,FALSE),4),0)</f>
      </c>
      <c r="I90" s="10">
        <f>=IF(ISNUMBER(VLOOKUP("10.7.1",A2:W103,9,FALSE)),ROUND(VLOOKUP("10.7.1",A2:W103,9,FALSE),4),0) + IF(ISNUMBER(VLOOKUP("10.7.2",A2:W103,9,FALSE)),ROUND(VLOOKUP("10.7.2",A2:W103,9,FALSE),4),0) + IF(ISNUMBER(VLOOKUP("10.7.3",A2:W103,9,FALSE)),ROUND(VLOOKUP("10.7.3",A2:W103,9,FALSE),4),0)</f>
      </c>
      <c r="J90" s="10">
        <f>=IF(ISNUMBER(VLOOKUP("10.7.1",A2:W103,10,FALSE)),ROUND(VLOOKUP("10.7.1",A2:W103,10,FALSE),4),0) + IF(ISNUMBER(VLOOKUP("10.7.2",A2:W103,10,FALSE)),ROUND(VLOOKUP("10.7.2",A2:W103,10,FALSE),4),0) + IF(ISNUMBER(VLOOKUP("10.7.3",A2:W103,10,FALSE)),ROUND(VLOOKUP("10.7.3",A2:W103,10,FALSE),4),0)</f>
      </c>
      <c r="K90" s="11">
        <f>=IF(ISNUMBER(VLOOKUP("10.7.1",A2:W103,11,FALSE)),ROUND(VLOOKUP("10.7.1",A2:W103,11,FALSE),4),0) + IF(ISNUMBER(VLOOKUP("10.7.2",A2:W103,11,FALSE)),ROUND(VLOOKUP("10.7.2",A2:W103,11,FALSE),4),0) + IF(ISNUMBER(VLOOKUP("10.7.3",A2:W103,11,FALSE)),ROUND(VLOOKUP("10.7.3",A2:W103,11,FALSE),4),0)</f>
      </c>
      <c r="L90" s="11">
        <f>=IF(ISNUMBER(VLOOKUP("10.7.1",A2:W103,12,FALSE)),ROUND(VLOOKUP("10.7.1",A2:W103,12,FALSE),4),0) + IF(ISNUMBER(VLOOKUP("10.7.2",A2:W103,12,FALSE)),ROUND(VLOOKUP("10.7.2",A2:W103,12,FALSE),4),0) + IF(ISNUMBER(VLOOKUP("10.7.3",A2:W103,12,FALSE)),ROUND(VLOOKUP("10.7.3",A2:W103,12,FALSE),4),0)</f>
      </c>
      <c r="M90" s="11">
        <f>=IF(ISNUMBER(VLOOKUP("10.7.1",A2:W103,13,FALSE)),ROUND(VLOOKUP("10.7.1",A2:W103,13,FALSE),4),0) + IF(ISNUMBER(VLOOKUP("10.7.2",A2:W103,13,FALSE)),ROUND(VLOOKUP("10.7.2",A2:W103,13,FALSE),4),0) + IF(ISNUMBER(VLOOKUP("10.7.3",A2:W103,13,FALSE)),ROUND(VLOOKUP("10.7.3",A2:W103,13,FALSE),4),0)</f>
      </c>
      <c r="N90" s="11">
        <f>=IF(ISNUMBER(VLOOKUP("10.7.1",A2:W103,14,FALSE)),ROUND(VLOOKUP("10.7.1",A2:W103,14,FALSE),4),0) + IF(ISNUMBER(VLOOKUP("10.7.2",A2:W103,14,FALSE)),ROUND(VLOOKUP("10.7.2",A2:W103,14,FALSE),4),0) + IF(ISNUMBER(VLOOKUP("10.7.3",A2:W103,14,FALSE)),ROUND(VLOOKUP("10.7.3",A2:W103,14,FALSE),4),0)</f>
      </c>
      <c r="O90" s="11">
        <f>=IF(ISNUMBER(VLOOKUP("10.7.1",A2:W103,15,FALSE)),ROUND(VLOOKUP("10.7.1",A2:W103,15,FALSE),4),0) + IF(ISNUMBER(VLOOKUP("10.7.2",A2:W103,15,FALSE)),ROUND(VLOOKUP("10.7.2",A2:W103,15,FALSE),4),0) + IF(ISNUMBER(VLOOKUP("10.7.3",A2:W103,15,FALSE)),ROUND(VLOOKUP("10.7.3",A2:W103,15,FALSE),4),0)</f>
      </c>
      <c r="P90" s="11">
        <f>=IF(ISNUMBER(VLOOKUP("10.7.1",A2:W103,16,FALSE)),ROUND(VLOOKUP("10.7.1",A2:W103,16,FALSE),4),0) + IF(ISNUMBER(VLOOKUP("10.7.2",A2:W103,16,FALSE)),ROUND(VLOOKUP("10.7.2",A2:W103,16,FALSE),4),0) + IF(ISNUMBER(VLOOKUP("10.7.3",A2:W103,16,FALSE)),ROUND(VLOOKUP("10.7.3",A2:W103,16,FALSE),4),0)</f>
      </c>
      <c r="Q90" s="11">
        <f>=IF(ISNUMBER(VLOOKUP("10.7.1",A2:W103,17,FALSE)),ROUND(VLOOKUP("10.7.1",A2:W103,17,FALSE),4),0) + IF(ISNUMBER(VLOOKUP("10.7.2",A2:W103,17,FALSE)),ROUND(VLOOKUP("10.7.2",A2:W103,17,FALSE),4),0) + IF(ISNUMBER(VLOOKUP("10.7.3",A2:W103,17,FALSE)),ROUND(VLOOKUP("10.7.3",A2:W103,17,FALSE),4),0)</f>
      </c>
      <c r="R90" s="11">
        <f>=IF(ISNUMBER(VLOOKUP("10.7.1",A2:W103,18,FALSE)),ROUND(VLOOKUP("10.7.1",A2:W103,18,FALSE),4),0) + IF(ISNUMBER(VLOOKUP("10.7.2",A2:W103,18,FALSE)),ROUND(VLOOKUP("10.7.2",A2:W103,18,FALSE),4),0) + IF(ISNUMBER(VLOOKUP("10.7.3",A2:W103,18,FALSE)),ROUND(VLOOKUP("10.7.3",A2:W103,18,FALSE),4),0)</f>
      </c>
      <c r="S90" s="11">
        <f>=IF(ISNUMBER(VLOOKUP("10.7.1",A2:W103,19,FALSE)),ROUND(VLOOKUP("10.7.1",A2:W103,19,FALSE),4),0) + IF(ISNUMBER(VLOOKUP("10.7.2",A2:W103,19,FALSE)),ROUND(VLOOKUP("10.7.2",A2:W103,19,FALSE),4),0) + IF(ISNUMBER(VLOOKUP("10.7.3",A2:W103,19,FALSE)),ROUND(VLOOKUP("10.7.3",A2:W103,19,FALSE),4),0)</f>
      </c>
      <c r="T90" s="11">
        <f>=IF(ISNUMBER(VLOOKUP("10.7.1",A2:W103,20,FALSE)),ROUND(VLOOKUP("10.7.1",A2:W103,20,FALSE),4),0) + IF(ISNUMBER(VLOOKUP("10.7.2",A2:W103,20,FALSE)),ROUND(VLOOKUP("10.7.2",A2:W103,20,FALSE),4),0) + IF(ISNUMBER(VLOOKUP("10.7.3",A2:W103,20,FALSE)),ROUND(VLOOKUP("10.7.3",A2:W103,20,FALSE),4),0)</f>
      </c>
      <c r="U90" s="11">
        <f>=IF(ISNUMBER(VLOOKUP("10.7.1",A2:W103,21,FALSE)),ROUND(VLOOKUP("10.7.1",A2:W103,21,FALSE),4),0) + IF(ISNUMBER(VLOOKUP("10.7.2",A2:W103,21,FALSE)),ROUND(VLOOKUP("10.7.2",A2:W103,21,FALSE),4),0) + IF(ISNUMBER(VLOOKUP("10.7.3",A2:W103,21,FALSE)),ROUND(VLOOKUP("10.7.3",A2:W103,21,FALSE),4),0)</f>
      </c>
      <c r="V90" s="11">
        <f>=IF(ISNUMBER(VLOOKUP("10.7.1",A2:W103,22,FALSE)),ROUND(VLOOKUP("10.7.1",A2:W103,22,FALSE),4),0) + IF(ISNUMBER(VLOOKUP("10.7.2",A2:W103,22,FALSE)),ROUND(VLOOKUP("10.7.2",A2:W103,22,FALSE),4),0) + IF(ISNUMBER(VLOOKUP("10.7.3",A2:W103,22,FALSE)),ROUND(VLOOKUP("10.7.3",A2:W103,22,FALSE),4),0)</f>
      </c>
      <c r="W90" s="11">
        <f>=IF(ISNUMBER(VLOOKUP("10.7.1",A2:W103,23,FALSE)),ROUND(VLOOKUP("10.7.1",A2:W103,23,FALSE),4),0) + IF(ISNUMBER(VLOOKUP("10.7.2",A2:W103,23,FALSE)),ROUND(VLOOKUP("10.7.2",A2:W103,23,FALSE),4),0) + IF(ISNUMBER(VLOOKUP("10.7.3",A2:W103,23,FALSE)),ROUND(VLOOKUP("10.7.3",A2:W103,23,FALSE),4),0)</f>
      </c>
    </row>
    <row r="91" ht="27.0833320617676" customHeight="1">
      <c r="A91" s="6" t="s">
        <v>193</v>
      </c>
      <c r="B91" s="7" t="s">
        <v>194</v>
      </c>
      <c r="C91" s="10">
        <v>0</v>
      </c>
      <c r="D91" s="10">
        <v>0</v>
      </c>
      <c r="E91" s="10">
        <v>0</v>
      </c>
      <c r="F91" s="10">
        <v>0</v>
      </c>
      <c r="G91" s="10">
        <v>0</v>
      </c>
      <c r="H91" s="10">
        <v>0</v>
      </c>
      <c r="I91" s="10">
        <v>0</v>
      </c>
      <c r="J91" s="10">
        <v>0</v>
      </c>
      <c r="K91" s="11">
        <v>0</v>
      </c>
      <c r="L91" s="11">
        <v>0</v>
      </c>
      <c r="M91" s="11">
        <v>0</v>
      </c>
      <c r="N91" s="11">
        <v>0</v>
      </c>
      <c r="O91" s="11">
        <v>0</v>
      </c>
      <c r="P91" s="11">
        <v>0</v>
      </c>
      <c r="Q91" s="11">
        <v>0</v>
      </c>
      <c r="R91" s="11">
        <v>0</v>
      </c>
      <c r="S91" s="11">
        <v>0</v>
      </c>
      <c r="T91" s="11">
        <v>0</v>
      </c>
      <c r="U91" s="11">
        <v>0</v>
      </c>
      <c r="V91" s="11">
        <v>0</v>
      </c>
      <c r="W91" s="11">
        <v>0</v>
      </c>
    </row>
    <row r="92" ht="27.0833320617676" customHeight="1">
      <c r="A92" s="6" t="s">
        <v>195</v>
      </c>
      <c r="B92" s="7" t="s">
        <v>196</v>
      </c>
      <c r="C92" s="10">
        <v>0</v>
      </c>
      <c r="D92" s="10">
        <v>0</v>
      </c>
      <c r="E92" s="10">
        <v>0</v>
      </c>
      <c r="F92" s="10">
        <v>0</v>
      </c>
      <c r="G92" s="10">
        <v>0</v>
      </c>
      <c r="H92" s="10">
        <v>0</v>
      </c>
      <c r="I92" s="10">
        <v>0</v>
      </c>
      <c r="J92" s="10">
        <v>0</v>
      </c>
      <c r="K92" s="11">
        <v>0</v>
      </c>
      <c r="L92" s="11">
        <v>0</v>
      </c>
      <c r="M92" s="11">
        <v>0</v>
      </c>
      <c r="N92" s="11">
        <v>0</v>
      </c>
      <c r="O92" s="11">
        <v>0</v>
      </c>
      <c r="P92" s="11">
        <v>0</v>
      </c>
      <c r="Q92" s="11">
        <v>0</v>
      </c>
      <c r="R92" s="11">
        <v>0</v>
      </c>
      <c r="S92" s="11">
        <v>0</v>
      </c>
      <c r="T92" s="11">
        <v>0</v>
      </c>
      <c r="U92" s="11">
        <v>0</v>
      </c>
      <c r="V92" s="11">
        <v>0</v>
      </c>
      <c r="W92" s="11">
        <v>0</v>
      </c>
    </row>
    <row r="93" ht="14.2083320617676" customHeight="1">
      <c r="A93" s="6" t="s">
        <v>197</v>
      </c>
      <c r="B93" s="7" t="s">
        <v>198</v>
      </c>
      <c r="C93" s="10">
        <v>0</v>
      </c>
      <c r="D93" s="10">
        <v>0</v>
      </c>
      <c r="E93" s="10">
        <v>0</v>
      </c>
      <c r="F93" s="10">
        <v>0</v>
      </c>
      <c r="G93" s="10">
        <v>0</v>
      </c>
      <c r="H93" s="10">
        <v>0</v>
      </c>
      <c r="I93" s="10">
        <v>0</v>
      </c>
      <c r="J93" s="10">
        <v>0</v>
      </c>
      <c r="K93" s="11">
        <v>0</v>
      </c>
      <c r="L93" s="11">
        <v>0</v>
      </c>
      <c r="M93" s="11">
        <v>0</v>
      </c>
      <c r="N93" s="11">
        <v>0</v>
      </c>
      <c r="O93" s="11">
        <v>0</v>
      </c>
      <c r="P93" s="11">
        <v>0</v>
      </c>
      <c r="Q93" s="11">
        <v>0</v>
      </c>
      <c r="R93" s="11">
        <v>0</v>
      </c>
      <c r="S93" s="11">
        <v>0</v>
      </c>
      <c r="T93" s="11">
        <v>0</v>
      </c>
      <c r="U93" s="11">
        <v>0</v>
      </c>
      <c r="V93" s="11">
        <v>0</v>
      </c>
      <c r="W93" s="11">
        <v>0</v>
      </c>
    </row>
    <row r="94" ht="27.0833320617676" customHeight="1">
      <c r="A94" s="6" t="s">
        <v>199</v>
      </c>
      <c r="B94" s="7" t="s">
        <v>200</v>
      </c>
      <c r="C94" s="10">
        <v>0</v>
      </c>
      <c r="D94" s="10">
        <v>0</v>
      </c>
      <c r="E94" s="10">
        <v>0</v>
      </c>
      <c r="F94" s="10">
        <v>0</v>
      </c>
      <c r="G94" s="10">
        <v>0</v>
      </c>
      <c r="H94" s="10">
        <v>0</v>
      </c>
      <c r="I94" s="10">
        <v>0</v>
      </c>
      <c r="J94" s="10">
        <v>0</v>
      </c>
      <c r="K94" s="11">
        <v>0</v>
      </c>
      <c r="L94" s="11">
        <v>0</v>
      </c>
      <c r="M94" s="11">
        <v>0</v>
      </c>
      <c r="N94" s="11">
        <v>0</v>
      </c>
      <c r="O94" s="11">
        <v>0</v>
      </c>
      <c r="P94" s="11">
        <v>0</v>
      </c>
      <c r="Q94" s="11">
        <v>0</v>
      </c>
      <c r="R94" s="11">
        <v>0</v>
      </c>
      <c r="S94" s="11">
        <v>0</v>
      </c>
      <c r="T94" s="11">
        <v>0</v>
      </c>
      <c r="U94" s="11">
        <v>0</v>
      </c>
      <c r="V94" s="11">
        <v>0</v>
      </c>
      <c r="W94" s="11">
        <v>0</v>
      </c>
    </row>
    <row r="95" ht="14.2083320617676" customHeight="1">
      <c r="A95" s="6" t="s">
        <v>201</v>
      </c>
      <c r="B95" s="7" t="s">
        <v>202</v>
      </c>
      <c r="C95" s="10">
        <v>0</v>
      </c>
      <c r="D95" s="10">
        <v>0</v>
      </c>
      <c r="E95" s="10">
        <v>0</v>
      </c>
      <c r="F95" s="10">
        <v>0</v>
      </c>
      <c r="G95" s="10">
        <v>0</v>
      </c>
      <c r="H95" s="10">
        <v>0</v>
      </c>
      <c r="I95" s="10">
        <v>0</v>
      </c>
      <c r="J95" s="10">
        <v>0</v>
      </c>
      <c r="K95" s="11">
        <v>0</v>
      </c>
      <c r="L95" s="11">
        <v>0</v>
      </c>
      <c r="M95" s="11">
        <v>0</v>
      </c>
      <c r="N95" s="11">
        <v>0</v>
      </c>
      <c r="O95" s="11">
        <v>0</v>
      </c>
      <c r="P95" s="11">
        <v>0</v>
      </c>
      <c r="Q95" s="11">
        <v>0</v>
      </c>
      <c r="R95" s="11">
        <v>0</v>
      </c>
      <c r="S95" s="11">
        <v>0</v>
      </c>
      <c r="T95" s="11">
        <v>0</v>
      </c>
      <c r="U95" s="11">
        <v>0</v>
      </c>
      <c r="V95" s="11">
        <v>0</v>
      </c>
      <c r="W95" s="11">
        <v>0</v>
      </c>
    </row>
    <row r="96" ht="27.0833320617676" customHeight="1">
      <c r="A96" s="6" t="s">
        <v>203</v>
      </c>
      <c r="B96" s="7" t="s">
        <v>204</v>
      </c>
      <c r="C96" s="10">
        <v>0</v>
      </c>
      <c r="D96" s="10">
        <v>15198340</v>
      </c>
      <c r="E96" s="10">
        <v>0</v>
      </c>
      <c r="F96" s="10">
        <v>0</v>
      </c>
      <c r="G96" s="10">
        <v>0</v>
      </c>
      <c r="H96" s="10">
        <v>0</v>
      </c>
      <c r="I96" s="10">
        <v>0</v>
      </c>
      <c r="J96" s="10">
        <v>0</v>
      </c>
      <c r="K96" s="11">
        <v>0</v>
      </c>
      <c r="L96" s="11">
        <v>0</v>
      </c>
      <c r="M96" s="11">
        <v>0</v>
      </c>
      <c r="N96" s="11">
        <v>0</v>
      </c>
      <c r="O96" s="11">
        <v>0</v>
      </c>
      <c r="P96" s="11">
        <v>0</v>
      </c>
      <c r="Q96" s="11">
        <v>0</v>
      </c>
      <c r="R96" s="11">
        <v>0</v>
      </c>
      <c r="S96" s="11">
        <v>0</v>
      </c>
      <c r="T96" s="11">
        <v>0</v>
      </c>
      <c r="U96" s="11">
        <v>0</v>
      </c>
      <c r="V96" s="11">
        <v>0</v>
      </c>
      <c r="W96" s="11">
        <v>0</v>
      </c>
    </row>
    <row r="97" ht="27.0833320617676" customHeight="1">
      <c r="A97" s="6" t="s">
        <v>205</v>
      </c>
      <c r="B97" s="7" t="s">
        <v>206</v>
      </c>
      <c r="C97" s="10">
        <v>0</v>
      </c>
      <c r="D97" s="10">
        <v>0</v>
      </c>
      <c r="E97" s="10">
        <v>0</v>
      </c>
      <c r="F97" s="10">
        <v>0</v>
      </c>
      <c r="G97" s="10">
        <v>0</v>
      </c>
      <c r="H97" s="10">
        <v>0</v>
      </c>
      <c r="I97" s="10">
        <v>0</v>
      </c>
      <c r="J97" s="10">
        <v>0</v>
      </c>
      <c r="K97" s="11">
        <v>0</v>
      </c>
      <c r="L97" s="11">
        <v>0</v>
      </c>
      <c r="M97" s="11">
        <v>0</v>
      </c>
      <c r="N97" s="11">
        <v>0</v>
      </c>
      <c r="O97" s="11">
        <v>0</v>
      </c>
      <c r="P97" s="11">
        <v>0</v>
      </c>
      <c r="Q97" s="11">
        <v>0</v>
      </c>
      <c r="R97" s="11">
        <v>0</v>
      </c>
      <c r="S97" s="11">
        <v>0</v>
      </c>
      <c r="T97" s="11">
        <v>0</v>
      </c>
      <c r="U97" s="11">
        <v>0</v>
      </c>
      <c r="V97" s="11">
        <v>0</v>
      </c>
      <c r="W97" s="11">
        <v>0</v>
      </c>
    </row>
    <row r="98" ht="78.5833282470703" customHeight="1">
      <c r="A98" s="6" t="s">
        <v>207</v>
      </c>
      <c r="B98" s="7" t="s">
        <v>208</v>
      </c>
      <c r="C98" s="10">
        <f>=IF(ISNUMBER(VLOOKUP("2.1.3.3",A2:W103,3,FALSE)),ROUND(VLOOKUP("2.1.3.3",A2:W103,3,FALSE),4),0) + IF(ISNUMBER(VLOOKUP("5.1.1.4",A2:W103,3,FALSE)),ROUND(VLOOKUP("5.1.1.4",A2:W103,3,FALSE),4),0)</f>
      </c>
      <c r="D98" s="10">
        <f>=IF(ISNUMBER(VLOOKUP("2.1.3.3",A2:W103,4,FALSE)),ROUND(VLOOKUP("2.1.3.3",A2:W103,4,FALSE),4),0) + IF(ISNUMBER(VLOOKUP("5.1.1.4",A2:W103,4,FALSE)),ROUND(VLOOKUP("5.1.1.4",A2:W103,4,FALSE),4),0)</f>
      </c>
      <c r="E98" s="10">
        <f>=IF(ISNUMBER(VLOOKUP("2.1.3.3",A2:W103,5,FALSE)),ROUND(VLOOKUP("2.1.3.3",A2:W103,5,FALSE),4),0) + IF(ISNUMBER(VLOOKUP("5.1.1.4",A2:W103,5,FALSE)),ROUND(VLOOKUP("5.1.1.4",A2:W103,5,FALSE),4),0)</f>
      </c>
      <c r="F98" s="10">
        <f>=IF(ISNUMBER(VLOOKUP("2.1.3.3",A2:W103,6,FALSE)),ROUND(VLOOKUP("2.1.3.3",A2:W103,6,FALSE),4),0) + IF(ISNUMBER(VLOOKUP("5.1.1.4",A2:W103,6,FALSE)),ROUND(VLOOKUP("5.1.1.4",A2:W103,6,FALSE),4),0)</f>
      </c>
      <c r="G98" s="10">
        <f>=IF(ISNUMBER(VLOOKUP("2.1.3.3",A2:W103,7,FALSE)),ROUND(VLOOKUP("2.1.3.3",A2:W103,7,FALSE),4),0) + IF(ISNUMBER(VLOOKUP("5.1.1.4",A2:W103,7,FALSE)),ROUND(VLOOKUP("5.1.1.4",A2:W103,7,FALSE),4),0)</f>
      </c>
      <c r="H98" s="10">
        <f>=IF(ISNUMBER(VLOOKUP("2.1.3.3",A2:W103,8,FALSE)),ROUND(VLOOKUP("2.1.3.3",A2:W103,8,FALSE),4),0) + IF(ISNUMBER(VLOOKUP("5.1.1.4",A2:W103,8,FALSE)),ROUND(VLOOKUP("5.1.1.4",A2:W103,8,FALSE),4),0)</f>
      </c>
      <c r="I98" s="10">
        <f>=IF(ISNUMBER(VLOOKUP("2.1.3.3",A2:W103,9,FALSE)),ROUND(VLOOKUP("2.1.3.3",A2:W103,9,FALSE),4),0) + IF(ISNUMBER(VLOOKUP("5.1.1.4",A2:W103,9,FALSE)),ROUND(VLOOKUP("5.1.1.4",A2:W103,9,FALSE),4),0)</f>
      </c>
      <c r="J98" s="10">
        <f>=IF(ISNUMBER(VLOOKUP("2.1.3.3",A2:W103,10,FALSE)),ROUND(VLOOKUP("2.1.3.3",A2:W103,10,FALSE),4),0) + IF(ISNUMBER(VLOOKUP("5.1.1.4",A2:W103,10,FALSE)),ROUND(VLOOKUP("5.1.1.4",A2:W103,10,FALSE),4),0)</f>
      </c>
      <c r="K98" s="11">
        <f>=IF(ISNUMBER(VLOOKUP("2.1.3.3",A2:W103,11,FALSE)),ROUND(VLOOKUP("2.1.3.3",A2:W103,11,FALSE),4),0) + IF(ISNUMBER(VLOOKUP("5.1.1.4",A2:W103,11,FALSE)),ROUND(VLOOKUP("5.1.1.4",A2:W103,11,FALSE),4),0)</f>
      </c>
      <c r="L98" s="11">
        <f>=IF(ISNUMBER(VLOOKUP("2.1.3.3",A2:W103,12,FALSE)),ROUND(VLOOKUP("2.1.3.3",A2:W103,12,FALSE),4),0) + IF(ISNUMBER(VLOOKUP("5.1.1.4",A2:W103,12,FALSE)),ROUND(VLOOKUP("5.1.1.4",A2:W103,12,FALSE),4),0)</f>
      </c>
      <c r="M98" s="11">
        <f>=IF(ISNUMBER(VLOOKUP("2.1.3.3",A2:W103,13,FALSE)),ROUND(VLOOKUP("2.1.3.3",A2:W103,13,FALSE),4),0) + IF(ISNUMBER(VLOOKUP("5.1.1.4",A2:W103,13,FALSE)),ROUND(VLOOKUP("5.1.1.4",A2:W103,13,FALSE),4),0)</f>
      </c>
      <c r="N98" s="11">
        <f>=IF(ISNUMBER(VLOOKUP("2.1.3.3",A2:W103,14,FALSE)),ROUND(VLOOKUP("2.1.3.3",A2:W103,14,FALSE),4),0) + IF(ISNUMBER(VLOOKUP("5.1.1.4",A2:W103,14,FALSE)),ROUND(VLOOKUP("5.1.1.4",A2:W103,14,FALSE),4),0)</f>
      </c>
      <c r="O98" s="11">
        <f>=IF(ISNUMBER(VLOOKUP("2.1.3.3",A2:W103,15,FALSE)),ROUND(VLOOKUP("2.1.3.3",A2:W103,15,FALSE),4),0) + IF(ISNUMBER(VLOOKUP("5.1.1.4",A2:W103,15,FALSE)),ROUND(VLOOKUP("5.1.1.4",A2:W103,15,FALSE),4),0)</f>
      </c>
      <c r="P98" s="11">
        <f>=IF(ISNUMBER(VLOOKUP("2.1.3.3",A2:W103,16,FALSE)),ROUND(VLOOKUP("2.1.3.3",A2:W103,16,FALSE),4),0) + IF(ISNUMBER(VLOOKUP("5.1.1.4",A2:W103,16,FALSE)),ROUND(VLOOKUP("5.1.1.4",A2:W103,16,FALSE),4),0)</f>
      </c>
      <c r="Q98" s="11">
        <f>=IF(ISNUMBER(VLOOKUP("2.1.3.3",A2:W103,17,FALSE)),ROUND(VLOOKUP("2.1.3.3",A2:W103,17,FALSE),4),0) + IF(ISNUMBER(VLOOKUP("5.1.1.4",A2:W103,17,FALSE)),ROUND(VLOOKUP("5.1.1.4",A2:W103,17,FALSE),4),0)</f>
      </c>
      <c r="R98" s="11">
        <f>=IF(ISNUMBER(VLOOKUP("2.1.3.3",A2:W103,18,FALSE)),ROUND(VLOOKUP("2.1.3.3",A2:W103,18,FALSE),4),0) + IF(ISNUMBER(VLOOKUP("5.1.1.4",A2:W103,18,FALSE)),ROUND(VLOOKUP("5.1.1.4",A2:W103,18,FALSE),4),0)</f>
      </c>
      <c r="S98" s="11">
        <f>=IF(ISNUMBER(VLOOKUP("2.1.3.3",A2:W103,19,FALSE)),ROUND(VLOOKUP("2.1.3.3",A2:W103,19,FALSE),4),0) + IF(ISNUMBER(VLOOKUP("5.1.1.4",A2:W103,19,FALSE)),ROUND(VLOOKUP("5.1.1.4",A2:W103,19,FALSE),4),0)</f>
      </c>
      <c r="T98" s="11">
        <f>=IF(ISNUMBER(VLOOKUP("2.1.3.3",A2:W103,20,FALSE)),ROUND(VLOOKUP("2.1.3.3",A2:W103,20,FALSE),4),0) + IF(ISNUMBER(VLOOKUP("5.1.1.4",A2:W103,20,FALSE)),ROUND(VLOOKUP("5.1.1.4",A2:W103,20,FALSE),4),0)</f>
      </c>
      <c r="U98" s="11">
        <f>=IF(ISNUMBER(VLOOKUP("2.1.3.3",A2:W103,21,FALSE)),ROUND(VLOOKUP("2.1.3.3",A2:W103,21,FALSE),4),0) + IF(ISNUMBER(VLOOKUP("5.1.1.4",A2:W103,21,FALSE)),ROUND(VLOOKUP("5.1.1.4",A2:W103,21,FALSE),4),0)</f>
      </c>
      <c r="V98" s="11">
        <f>=IF(ISNUMBER(VLOOKUP("2.1.3.3",A2:W103,22,FALSE)),ROUND(VLOOKUP("2.1.3.3",A2:W103,22,FALSE),4),0) + IF(ISNUMBER(VLOOKUP("5.1.1.4",A2:W103,22,FALSE)),ROUND(VLOOKUP("5.1.1.4",A2:W103,22,FALSE),4),0)</f>
      </c>
      <c r="W98" s="11">
        <f>=IF(ISNUMBER(VLOOKUP("2.1.3.3",A2:W103,23,FALSE)),ROUND(VLOOKUP("2.1.3.3",A2:W103,23,FALSE),4),0) + IF(ISNUMBER(VLOOKUP("5.1.1.4",A2:W103,23,FALSE)),ROUND(VLOOKUP("5.1.1.4",A2:W103,23,FALSE),4),0)</f>
      </c>
    </row>
    <row r="99" ht="27.0833320617676" customHeight="1">
      <c r="A99" s="6" t="s">
        <v>209</v>
      </c>
      <c r="B99" s="7" t="s">
        <v>210</v>
      </c>
      <c r="C99" s="8">
        <v>0</v>
      </c>
      <c r="D99" s="8">
        <v>0</v>
      </c>
      <c r="E99" s="8">
        <v>0</v>
      </c>
      <c r="F99" s="8">
        <v>0</v>
      </c>
      <c r="G99" s="8">
        <v>0</v>
      </c>
      <c r="H99" s="8">
        <v>0</v>
      </c>
      <c r="I99" s="8">
        <v>0</v>
      </c>
      <c r="J99" s="8">
        <v>0</v>
      </c>
      <c r="K99" s="9">
        <v>0</v>
      </c>
      <c r="L99" s="9">
        <v>0</v>
      </c>
      <c r="M99" s="9">
        <v>0</v>
      </c>
      <c r="N99" s="9">
        <v>0</v>
      </c>
      <c r="O99" s="9">
        <v>0</v>
      </c>
      <c r="P99" s="9">
        <v>0</v>
      </c>
      <c r="Q99" s="9">
        <v>0</v>
      </c>
      <c r="R99" s="9">
        <v>0</v>
      </c>
      <c r="S99" s="9">
        <v>0</v>
      </c>
      <c r="T99" s="9">
        <v>0</v>
      </c>
      <c r="U99" s="9">
        <v>0</v>
      </c>
      <c r="V99" s="9">
        <v>0</v>
      </c>
      <c r="W99" s="9">
        <v>0</v>
      </c>
    </row>
    <row r="100" ht="0" hidden="1">
      <c r="A100" s="6" t="s">
        <v>211</v>
      </c>
      <c r="B100" s="7" t="s">
        <v>212</v>
      </c>
      <c r="C100" s="8">
        <v>0</v>
      </c>
      <c r="D100" s="8">
        <v>0</v>
      </c>
      <c r="E100" s="8">
        <v>0</v>
      </c>
      <c r="F100" s="8">
        <v>0</v>
      </c>
      <c r="G100" s="8">
        <v>0</v>
      </c>
      <c r="H100" s="8">
        <v>0</v>
      </c>
      <c r="I100" s="8">
        <v>0</v>
      </c>
      <c r="J100" s="8">
        <v>0</v>
      </c>
      <c r="K100" s="9">
        <v>0</v>
      </c>
      <c r="L100" s="9">
        <v>0</v>
      </c>
      <c r="M100" s="9">
        <v>0</v>
      </c>
      <c r="N100" s="9">
        <v>0</v>
      </c>
      <c r="O100" s="9">
        <v>0</v>
      </c>
      <c r="P100" s="9">
        <v>0</v>
      </c>
      <c r="Q100" s="9">
        <v>0</v>
      </c>
      <c r="R100" s="9">
        <v>0</v>
      </c>
      <c r="S100" s="9">
        <v>0</v>
      </c>
      <c r="T100" s="9">
        <v>0</v>
      </c>
      <c r="U100" s="9">
        <v>0</v>
      </c>
      <c r="V100" s="9">
        <v>0</v>
      </c>
      <c r="W100" s="9">
        <v>0</v>
      </c>
    </row>
    <row r="101" ht="0" hidden="1">
      <c r="A101" s="22" t="s">
        <v>213</v>
      </c>
      <c r="B101" s="23" t="s">
        <v>214</v>
      </c>
      <c r="C101" s="24">
        <f>=IF(ISNUMBER(VLOOKUP("3",A2:W103,3,FALSE)),ROUND(VLOOKUP("3",A2:W103,3,FALSE),4),0) + IF(ISNUMBER(VLOOKUP("4",A2:W103,3,FALSE)),ROUND(VLOOKUP("4",A2:W103,3,FALSE),4),0) - IF(ISNUMBER(VLOOKUP("5",A2:W103,3,FALSE)),ROUND(VLOOKUP("5",A2:W103,3,FALSE),4),0)</f>
      </c>
      <c r="D101" s="24">
        <f>=IF(ISNUMBER(VLOOKUP("3",A2:W103,4,FALSE)),ROUND(VLOOKUP("3",A2:W103,4,FALSE),4),0) + IF(ISNUMBER(VLOOKUP("4",A2:W103,4,FALSE)),ROUND(VLOOKUP("4",A2:W103,4,FALSE),4),0) - IF(ISNUMBER(VLOOKUP("5",A2:W103,4,FALSE)),ROUND(VLOOKUP("5",A2:W103,4,FALSE),4),0)</f>
      </c>
      <c r="E101" s="24">
        <f>=IF(ISNUMBER(VLOOKUP("3",A2:W103,5,FALSE)),ROUND(VLOOKUP("3",A2:W103,5,FALSE),4),0) + IF(ISNUMBER(VLOOKUP("4",A2:W103,5,FALSE)),ROUND(VLOOKUP("4",A2:W103,5,FALSE),4),0) - IF(ISNUMBER(VLOOKUP("5",A2:W103,5,FALSE)),ROUND(VLOOKUP("5",A2:W103,5,FALSE),4),0)</f>
      </c>
      <c r="F101" s="24">
        <f>=IF(ISNUMBER(VLOOKUP("3",A2:W103,6,FALSE)),ROUND(VLOOKUP("3",A2:W103,6,FALSE),4),0) + IF(ISNUMBER(VLOOKUP("4",A2:W103,6,FALSE)),ROUND(VLOOKUP("4",A2:W103,6,FALSE),4),0) - IF(ISNUMBER(VLOOKUP("5",A2:W103,6,FALSE)),ROUND(VLOOKUP("5",A2:W103,6,FALSE),4),0)</f>
      </c>
      <c r="G101" s="24">
        <f>=IF(ISNUMBER(VLOOKUP("3",A2:W103,7,FALSE)),ROUND(VLOOKUP("3",A2:W103,7,FALSE),4),0) + IF(ISNUMBER(VLOOKUP("4",A2:W103,7,FALSE)),ROUND(VLOOKUP("4",A2:W103,7,FALSE),4),0) - IF(ISNUMBER(VLOOKUP("5",A2:W103,7,FALSE)),ROUND(VLOOKUP("5",A2:W103,7,FALSE),4),0)</f>
      </c>
      <c r="H101" s="24">
        <f>=IF(ISNUMBER(VLOOKUP("3",A2:W103,8,FALSE)),ROUND(VLOOKUP("3",A2:W103,8,FALSE),4),0) + IF(ISNUMBER(VLOOKUP("4",A2:W103,8,FALSE)),ROUND(VLOOKUP("4",A2:W103,8,FALSE),4),0) - IF(ISNUMBER(VLOOKUP("5",A2:W103,8,FALSE)),ROUND(VLOOKUP("5",A2:W103,8,FALSE),4),0)</f>
      </c>
      <c r="I101" s="24">
        <f>=IF(ISNUMBER(VLOOKUP("3",A2:W103,9,FALSE)),ROUND(VLOOKUP("3",A2:W103,9,FALSE),4),0) + IF(ISNUMBER(VLOOKUP("4",A2:W103,9,FALSE)),ROUND(VLOOKUP("4",A2:W103,9,FALSE),4),0) - IF(ISNUMBER(VLOOKUP("5",A2:W103,9,FALSE)),ROUND(VLOOKUP("5",A2:W103,9,FALSE),4),0)</f>
      </c>
      <c r="J101" s="24">
        <f>=IF(ISNUMBER(VLOOKUP("3",A2:W103,10,FALSE)),ROUND(VLOOKUP("3",A2:W103,10,FALSE),4),0) + IF(ISNUMBER(VLOOKUP("4",A2:W103,10,FALSE)),ROUND(VLOOKUP("4",A2:W103,10,FALSE),4),0) - IF(ISNUMBER(VLOOKUP("5",A2:W103,10,FALSE)),ROUND(VLOOKUP("5",A2:W103,10,FALSE),4),0)</f>
      </c>
      <c r="K101" s="25">
        <f>=IF(ISNUMBER(VLOOKUP("3",A2:W103,11,FALSE)),ROUND(VLOOKUP("3",A2:W103,11,FALSE),4),0) + IF(ISNUMBER(VLOOKUP("4",A2:W103,11,FALSE)),ROUND(VLOOKUP("4",A2:W103,11,FALSE),4),0) - IF(ISNUMBER(VLOOKUP("5",A2:W103,11,FALSE)),ROUND(VLOOKUP("5",A2:W103,11,FALSE),4),0)</f>
      </c>
      <c r="L101" s="25">
        <f>=IF(ISNUMBER(VLOOKUP("3",A2:W103,12,FALSE)),ROUND(VLOOKUP("3",A2:W103,12,FALSE),4),0) + IF(ISNUMBER(VLOOKUP("4",A2:W103,12,FALSE)),ROUND(VLOOKUP("4",A2:W103,12,FALSE),4),0) - IF(ISNUMBER(VLOOKUP("5",A2:W103,12,FALSE)),ROUND(VLOOKUP("5",A2:W103,12,FALSE),4),0)</f>
      </c>
      <c r="M101" s="25">
        <f>=IF(ISNUMBER(VLOOKUP("3",A2:W103,13,FALSE)),ROUND(VLOOKUP("3",A2:W103,13,FALSE),4),0) + IF(ISNUMBER(VLOOKUP("4",A2:W103,13,FALSE)),ROUND(VLOOKUP("4",A2:W103,13,FALSE),4),0) - IF(ISNUMBER(VLOOKUP("5",A2:W103,13,FALSE)),ROUND(VLOOKUP("5",A2:W103,13,FALSE),4),0)</f>
      </c>
      <c r="N101" s="25">
        <f>=IF(ISNUMBER(VLOOKUP("3",A2:W103,14,FALSE)),ROUND(VLOOKUP("3",A2:W103,14,FALSE),4),0) + IF(ISNUMBER(VLOOKUP("4",A2:W103,14,FALSE)),ROUND(VLOOKUP("4",A2:W103,14,FALSE),4),0) - IF(ISNUMBER(VLOOKUP("5",A2:W103,14,FALSE)),ROUND(VLOOKUP("5",A2:W103,14,FALSE),4),0)</f>
      </c>
      <c r="O101" s="25">
        <f>=IF(ISNUMBER(VLOOKUP("3",A2:W103,15,FALSE)),ROUND(VLOOKUP("3",A2:W103,15,FALSE),4),0) + IF(ISNUMBER(VLOOKUP("4",A2:W103,15,FALSE)),ROUND(VLOOKUP("4",A2:W103,15,FALSE),4),0) - IF(ISNUMBER(VLOOKUP("5",A2:W103,15,FALSE)),ROUND(VLOOKUP("5",A2:W103,15,FALSE),4),0)</f>
      </c>
      <c r="P101" s="25">
        <f>=IF(ISNUMBER(VLOOKUP("3",A2:W103,16,FALSE)),ROUND(VLOOKUP("3",A2:W103,16,FALSE),4),0) + IF(ISNUMBER(VLOOKUP("4",A2:W103,16,FALSE)),ROUND(VLOOKUP("4",A2:W103,16,FALSE),4),0) - IF(ISNUMBER(VLOOKUP("5",A2:W103,16,FALSE)),ROUND(VLOOKUP("5",A2:W103,16,FALSE),4),0)</f>
      </c>
      <c r="Q101" s="25">
        <f>=IF(ISNUMBER(VLOOKUP("3",A2:W103,17,FALSE)),ROUND(VLOOKUP("3",A2:W103,17,FALSE),4),0) + IF(ISNUMBER(VLOOKUP("4",A2:W103,17,FALSE)),ROUND(VLOOKUP("4",A2:W103,17,FALSE),4),0) - IF(ISNUMBER(VLOOKUP("5",A2:W103,17,FALSE)),ROUND(VLOOKUP("5",A2:W103,17,FALSE),4),0)</f>
      </c>
      <c r="R101" s="25">
        <f>=IF(ISNUMBER(VLOOKUP("3",A2:W103,18,FALSE)),ROUND(VLOOKUP("3",A2:W103,18,FALSE),4),0) + IF(ISNUMBER(VLOOKUP("4",A2:W103,18,FALSE)),ROUND(VLOOKUP("4",A2:W103,18,FALSE),4),0) - IF(ISNUMBER(VLOOKUP("5",A2:W103,18,FALSE)),ROUND(VLOOKUP("5",A2:W103,18,FALSE),4),0)</f>
      </c>
      <c r="S101" s="25">
        <f>=IF(ISNUMBER(VLOOKUP("3",A2:W103,19,FALSE)),ROUND(VLOOKUP("3",A2:W103,19,FALSE),4),0) + IF(ISNUMBER(VLOOKUP("4",A2:W103,19,FALSE)),ROUND(VLOOKUP("4",A2:W103,19,FALSE),4),0) - IF(ISNUMBER(VLOOKUP("5",A2:W103,19,FALSE)),ROUND(VLOOKUP("5",A2:W103,19,FALSE),4),0)</f>
      </c>
      <c r="T101" s="25">
        <f>=IF(ISNUMBER(VLOOKUP("3",A2:W103,20,FALSE)),ROUND(VLOOKUP("3",A2:W103,20,FALSE),4),0) + IF(ISNUMBER(VLOOKUP("4",A2:W103,20,FALSE)),ROUND(VLOOKUP("4",A2:W103,20,FALSE),4),0) - IF(ISNUMBER(VLOOKUP("5",A2:W103,20,FALSE)),ROUND(VLOOKUP("5",A2:W103,20,FALSE),4),0)</f>
      </c>
      <c r="U101" s="25">
        <f>=IF(ISNUMBER(VLOOKUP("3",A2:W103,21,FALSE)),ROUND(VLOOKUP("3",A2:W103,21,FALSE),4),0) + IF(ISNUMBER(VLOOKUP("4",A2:W103,21,FALSE)),ROUND(VLOOKUP("4",A2:W103,21,FALSE),4),0) - IF(ISNUMBER(VLOOKUP("5",A2:W103,21,FALSE)),ROUND(VLOOKUP("5",A2:W103,21,FALSE),4),0)</f>
      </c>
      <c r="V101" s="25">
        <f>=IF(ISNUMBER(VLOOKUP("3",A2:W103,22,FALSE)),ROUND(VLOOKUP("3",A2:W103,22,FALSE),4),0) + IF(ISNUMBER(VLOOKUP("4",A2:W103,22,FALSE)),ROUND(VLOOKUP("4",A2:W103,22,FALSE),4),0) - IF(ISNUMBER(VLOOKUP("5",A2:W103,22,FALSE)),ROUND(VLOOKUP("5",A2:W103,22,FALSE),4),0)</f>
      </c>
      <c r="W101" s="25">
        <f>=IF(ISNUMBER(VLOOKUP("3",A2:W103,23,FALSE)),ROUND(VLOOKUP("3",A2:W103,23,FALSE),4),0) + IF(ISNUMBER(VLOOKUP("4",A2:W103,23,FALSE)),ROUND(VLOOKUP("4",A2:W103,23,FALSE),4),0) - IF(ISNUMBER(VLOOKUP("5",A2:W103,23,FALSE)),ROUND(VLOOKUP("5",A2:W103,23,FALSE),4),0)</f>
      </c>
    </row>
    <row r="102" ht="0" hidden="1">
      <c r="A102" s="6" t="s">
        <v>215</v>
      </c>
      <c r="B102" s="7" t="s">
        <v>216</v>
      </c>
      <c r="C102" s="10">
        <f>=IF(ISNUMBER(VLOOKUP("1",A2:W103,3,FALSE)),ROUND(VLOOKUP("1",A2:W103,3,FALSE),4),0) - (IF(ISNUMBER(VLOOKUP("2.1",A2:W103,3,FALSE)),ROUND(VLOOKUP("2.1",A2:W103,3,FALSE),4),0) + IF(ISNUMBER(VLOOKUP("10.1.2",A2:W103,3,FALSE)),ROUND(VLOOKUP("10.1.2",A2:W103,3,FALSE),4),0)) + IF(ISNUMBER(VLOOKUP("4",A2:W103,3,FALSE)),ROUND(VLOOKUP("4",A2:W103,3,FALSE),4),0) - IF(ISNUMBER(VLOOKUP("5",A2:W103,3,FALSE)),ROUND(VLOOKUP("5",A2:W103,3,FALSE),4),0)</f>
      </c>
      <c r="D102" s="10">
        <f>=IF(ISNUMBER(VLOOKUP("1",A2:W103,4,FALSE)),ROUND(VLOOKUP("1",A2:W103,4,FALSE),4),0) - (IF(ISNUMBER(VLOOKUP("2.1",A2:W103,4,FALSE)),ROUND(VLOOKUP("2.1",A2:W103,4,FALSE),4),0) + IF(ISNUMBER(VLOOKUP("10.1.2",A2:W103,4,FALSE)),ROUND(VLOOKUP("10.1.2",A2:W103,4,FALSE),4),0)) + IF(ISNUMBER(VLOOKUP("4",A2:W103,4,FALSE)),ROUND(VLOOKUP("4",A2:W103,4,FALSE),4),0) - IF(ISNUMBER(VLOOKUP("5",A2:W103,4,FALSE)),ROUND(VLOOKUP("5",A2:W103,4,FALSE),4),0)</f>
      </c>
      <c r="E102" s="10">
        <f>=IF(ISNUMBER(VLOOKUP("1",A2:W103,5,FALSE)),ROUND(VLOOKUP("1",A2:W103,5,FALSE),4),0) - (IF(ISNUMBER(VLOOKUP("2.1",A2:W103,5,FALSE)),ROUND(VLOOKUP("2.1",A2:W103,5,FALSE),4),0) + IF(ISNUMBER(VLOOKUP("10.1.2",A2:W103,5,FALSE)),ROUND(VLOOKUP("10.1.2",A2:W103,5,FALSE),4),0)) + IF(ISNUMBER(VLOOKUP("4",A2:W103,5,FALSE)),ROUND(VLOOKUP("4",A2:W103,5,FALSE),4),0) - IF(ISNUMBER(VLOOKUP("5",A2:W103,5,FALSE)),ROUND(VLOOKUP("5",A2:W103,5,FALSE),4),0)</f>
      </c>
      <c r="F102" s="10">
        <f>=IF(ISNUMBER(VLOOKUP("1",A2:W103,6,FALSE)),ROUND(VLOOKUP("1",A2:W103,6,FALSE),4),0) - (IF(ISNUMBER(VLOOKUP("2.1",A2:W103,6,FALSE)),ROUND(VLOOKUP("2.1",A2:W103,6,FALSE),4),0) + IF(ISNUMBER(VLOOKUP("10.1.2",A2:W103,6,FALSE)),ROUND(VLOOKUP("10.1.2",A2:W103,6,FALSE),4),0)) + IF(ISNUMBER(VLOOKUP("4",A2:W103,6,FALSE)),ROUND(VLOOKUP("4",A2:W103,6,FALSE),4),0) - IF(ISNUMBER(VLOOKUP("5",A2:W103,6,FALSE)),ROUND(VLOOKUP("5",A2:W103,6,FALSE),4),0)</f>
      </c>
      <c r="G102" s="10">
        <f>=IF(ISNUMBER(VLOOKUP("1",A2:W103,7,FALSE)),ROUND(VLOOKUP("1",A2:W103,7,FALSE),4),0) - (IF(ISNUMBER(VLOOKUP("2.1",A2:W103,7,FALSE)),ROUND(VLOOKUP("2.1",A2:W103,7,FALSE),4),0) + IF(ISNUMBER(VLOOKUP("10.1.2",A2:W103,7,FALSE)),ROUND(VLOOKUP("10.1.2",A2:W103,7,FALSE),4),0)) + IF(ISNUMBER(VLOOKUP("4",A2:W103,7,FALSE)),ROUND(VLOOKUP("4",A2:W103,7,FALSE),4),0) - IF(ISNUMBER(VLOOKUP("5",A2:W103,7,FALSE)),ROUND(VLOOKUP("5",A2:W103,7,FALSE),4),0)</f>
      </c>
      <c r="H102" s="10">
        <f>=IF(ISNUMBER(VLOOKUP("1",A2:W103,8,FALSE)),ROUND(VLOOKUP("1",A2:W103,8,FALSE),4),0) - (IF(ISNUMBER(VLOOKUP("2.1",A2:W103,8,FALSE)),ROUND(VLOOKUP("2.1",A2:W103,8,FALSE),4),0) + IF(ISNUMBER(VLOOKUP("10.1.2",A2:W103,8,FALSE)),ROUND(VLOOKUP("10.1.2",A2:W103,8,FALSE),4),0)) + IF(ISNUMBER(VLOOKUP("4",A2:W103,8,FALSE)),ROUND(VLOOKUP("4",A2:W103,8,FALSE),4),0) - IF(ISNUMBER(VLOOKUP("5",A2:W103,8,FALSE)),ROUND(VLOOKUP("5",A2:W103,8,FALSE),4),0)</f>
      </c>
      <c r="I102" s="10">
        <f>=IF(ISNUMBER(VLOOKUP("1",A2:W103,9,FALSE)),ROUND(VLOOKUP("1",A2:W103,9,FALSE),4),0) - (IF(ISNUMBER(VLOOKUP("2.1",A2:W103,9,FALSE)),ROUND(VLOOKUP("2.1",A2:W103,9,FALSE),4),0) + IF(ISNUMBER(VLOOKUP("10.1.2",A2:W103,9,FALSE)),ROUND(VLOOKUP("10.1.2",A2:W103,9,FALSE),4),0)) + IF(ISNUMBER(VLOOKUP("4",A2:W103,9,FALSE)),ROUND(VLOOKUP("4",A2:W103,9,FALSE),4),0) - IF(ISNUMBER(VLOOKUP("5",A2:W103,9,FALSE)),ROUND(VLOOKUP("5",A2:W103,9,FALSE),4),0)</f>
      </c>
      <c r="J102" s="10">
        <f>=IF(ISNUMBER(VLOOKUP("1",A2:W103,10,FALSE)),ROUND(VLOOKUP("1",A2:W103,10,FALSE),4),0) - (IF(ISNUMBER(VLOOKUP("2.1",A2:W103,10,FALSE)),ROUND(VLOOKUP("2.1",A2:W103,10,FALSE),4),0) + IF(ISNUMBER(VLOOKUP("10.1.2",A2:W103,10,FALSE)),ROUND(VLOOKUP("10.1.2",A2:W103,10,FALSE),4),0)) + IF(ISNUMBER(VLOOKUP("4",A2:W103,10,FALSE)),ROUND(VLOOKUP("4",A2:W103,10,FALSE),4),0) - IF(ISNUMBER(VLOOKUP("5",A2:W103,10,FALSE)),ROUND(VLOOKUP("5",A2:W103,10,FALSE),4),0)</f>
      </c>
      <c r="K102" s="11">
        <f>=IF(ISNUMBER(VLOOKUP("1",A2:W103,11,FALSE)),ROUND(VLOOKUP("1",A2:W103,11,FALSE),4),0) - (IF(ISNUMBER(VLOOKUP("2.1",A2:W103,11,FALSE)),ROUND(VLOOKUP("2.1",A2:W103,11,FALSE),4),0) + IF(ISNUMBER(VLOOKUP("10.1.2",A2:W103,11,FALSE)),ROUND(VLOOKUP("10.1.2",A2:W103,11,FALSE),4),0)) + IF(ISNUMBER(VLOOKUP("4",A2:W103,11,FALSE)),ROUND(VLOOKUP("4",A2:W103,11,FALSE),4),0) - IF(ISNUMBER(VLOOKUP("5",A2:W103,11,FALSE)),ROUND(VLOOKUP("5",A2:W103,11,FALSE),4),0)</f>
      </c>
      <c r="L102" s="11">
        <f>=IF(ISNUMBER(VLOOKUP("1",A2:W103,12,FALSE)),ROUND(VLOOKUP("1",A2:W103,12,FALSE),4),0) - (IF(ISNUMBER(VLOOKUP("2.1",A2:W103,12,FALSE)),ROUND(VLOOKUP("2.1",A2:W103,12,FALSE),4),0) + IF(ISNUMBER(VLOOKUP("10.1.2",A2:W103,12,FALSE)),ROUND(VLOOKUP("10.1.2",A2:W103,12,FALSE),4),0)) + IF(ISNUMBER(VLOOKUP("4",A2:W103,12,FALSE)),ROUND(VLOOKUP("4",A2:W103,12,FALSE),4),0) - IF(ISNUMBER(VLOOKUP("5",A2:W103,12,FALSE)),ROUND(VLOOKUP("5",A2:W103,12,FALSE),4),0)</f>
      </c>
      <c r="M102" s="11">
        <f>=IF(ISNUMBER(VLOOKUP("1",A2:W103,13,FALSE)),ROUND(VLOOKUP("1",A2:W103,13,FALSE),4),0) - (IF(ISNUMBER(VLOOKUP("2.1",A2:W103,13,FALSE)),ROUND(VLOOKUP("2.1",A2:W103,13,FALSE),4),0) + IF(ISNUMBER(VLOOKUP("10.1.2",A2:W103,13,FALSE)),ROUND(VLOOKUP("10.1.2",A2:W103,13,FALSE),4),0)) + IF(ISNUMBER(VLOOKUP("4",A2:W103,13,FALSE)),ROUND(VLOOKUP("4",A2:W103,13,FALSE),4),0) - IF(ISNUMBER(VLOOKUP("5",A2:W103,13,FALSE)),ROUND(VLOOKUP("5",A2:W103,13,FALSE),4),0)</f>
      </c>
      <c r="N102" s="11">
        <f>=IF(ISNUMBER(VLOOKUP("1",A2:W103,14,FALSE)),ROUND(VLOOKUP("1",A2:W103,14,FALSE),4),0) - (IF(ISNUMBER(VLOOKUP("2.1",A2:W103,14,FALSE)),ROUND(VLOOKUP("2.1",A2:W103,14,FALSE),4),0) + IF(ISNUMBER(VLOOKUP("10.1.2",A2:W103,14,FALSE)),ROUND(VLOOKUP("10.1.2",A2:W103,14,FALSE),4),0)) + IF(ISNUMBER(VLOOKUP("4",A2:W103,14,FALSE)),ROUND(VLOOKUP("4",A2:W103,14,FALSE),4),0) - IF(ISNUMBER(VLOOKUP("5",A2:W103,14,FALSE)),ROUND(VLOOKUP("5",A2:W103,14,FALSE),4),0)</f>
      </c>
      <c r="O102" s="11">
        <f>=IF(ISNUMBER(VLOOKUP("1",A2:W103,15,FALSE)),ROUND(VLOOKUP("1",A2:W103,15,FALSE),4),0) - (IF(ISNUMBER(VLOOKUP("2.1",A2:W103,15,FALSE)),ROUND(VLOOKUP("2.1",A2:W103,15,FALSE),4),0) + IF(ISNUMBER(VLOOKUP("10.1.2",A2:W103,15,FALSE)),ROUND(VLOOKUP("10.1.2",A2:W103,15,FALSE),4),0)) + IF(ISNUMBER(VLOOKUP("4",A2:W103,15,FALSE)),ROUND(VLOOKUP("4",A2:W103,15,FALSE),4),0) - IF(ISNUMBER(VLOOKUP("5",A2:W103,15,FALSE)),ROUND(VLOOKUP("5",A2:W103,15,FALSE),4),0)</f>
      </c>
      <c r="P102" s="11">
        <f>=IF(ISNUMBER(VLOOKUP("1",A2:W103,16,FALSE)),ROUND(VLOOKUP("1",A2:W103,16,FALSE),4),0) - (IF(ISNUMBER(VLOOKUP("2.1",A2:W103,16,FALSE)),ROUND(VLOOKUP("2.1",A2:W103,16,FALSE),4),0) + IF(ISNUMBER(VLOOKUP("10.1.2",A2:W103,16,FALSE)),ROUND(VLOOKUP("10.1.2",A2:W103,16,FALSE),4),0)) + IF(ISNUMBER(VLOOKUP("4",A2:W103,16,FALSE)),ROUND(VLOOKUP("4",A2:W103,16,FALSE),4),0) - IF(ISNUMBER(VLOOKUP("5",A2:W103,16,FALSE)),ROUND(VLOOKUP("5",A2:W103,16,FALSE),4),0)</f>
      </c>
      <c r="Q102" s="11">
        <f>=IF(ISNUMBER(VLOOKUP("1",A2:W103,17,FALSE)),ROUND(VLOOKUP("1",A2:W103,17,FALSE),4),0) - (IF(ISNUMBER(VLOOKUP("2.1",A2:W103,17,FALSE)),ROUND(VLOOKUP("2.1",A2:W103,17,FALSE),4),0) + IF(ISNUMBER(VLOOKUP("10.1.2",A2:W103,17,FALSE)),ROUND(VLOOKUP("10.1.2",A2:W103,17,FALSE),4),0)) + IF(ISNUMBER(VLOOKUP("4",A2:W103,17,FALSE)),ROUND(VLOOKUP("4",A2:W103,17,FALSE),4),0) - IF(ISNUMBER(VLOOKUP("5",A2:W103,17,FALSE)),ROUND(VLOOKUP("5",A2:W103,17,FALSE),4),0)</f>
      </c>
      <c r="R102" s="11">
        <f>=IF(ISNUMBER(VLOOKUP("1",A2:W103,18,FALSE)),ROUND(VLOOKUP("1",A2:W103,18,FALSE),4),0) - (IF(ISNUMBER(VLOOKUP("2.1",A2:W103,18,FALSE)),ROUND(VLOOKUP("2.1",A2:W103,18,FALSE),4),0) + IF(ISNUMBER(VLOOKUP("10.1.2",A2:W103,18,FALSE)),ROUND(VLOOKUP("10.1.2",A2:W103,18,FALSE),4),0)) + IF(ISNUMBER(VLOOKUP("4",A2:W103,18,FALSE)),ROUND(VLOOKUP("4",A2:W103,18,FALSE),4),0) - IF(ISNUMBER(VLOOKUP("5",A2:W103,18,FALSE)),ROUND(VLOOKUP("5",A2:W103,18,FALSE),4),0)</f>
      </c>
      <c r="S102" s="11">
        <f>=IF(ISNUMBER(VLOOKUP("1",A2:W103,19,FALSE)),ROUND(VLOOKUP("1",A2:W103,19,FALSE),4),0) - (IF(ISNUMBER(VLOOKUP("2.1",A2:W103,19,FALSE)),ROUND(VLOOKUP("2.1",A2:W103,19,FALSE),4),0) + IF(ISNUMBER(VLOOKUP("10.1.2",A2:W103,19,FALSE)),ROUND(VLOOKUP("10.1.2",A2:W103,19,FALSE),4),0)) + IF(ISNUMBER(VLOOKUP("4",A2:W103,19,FALSE)),ROUND(VLOOKUP("4",A2:W103,19,FALSE),4),0) - IF(ISNUMBER(VLOOKUP("5",A2:W103,19,FALSE)),ROUND(VLOOKUP("5",A2:W103,19,FALSE),4),0)</f>
      </c>
      <c r="T102" s="11">
        <f>=IF(ISNUMBER(VLOOKUP("1",A2:W103,20,FALSE)),ROUND(VLOOKUP("1",A2:W103,20,FALSE),4),0) - (IF(ISNUMBER(VLOOKUP("2.1",A2:W103,20,FALSE)),ROUND(VLOOKUP("2.1",A2:W103,20,FALSE),4),0) + IF(ISNUMBER(VLOOKUP("10.1.2",A2:W103,20,FALSE)),ROUND(VLOOKUP("10.1.2",A2:W103,20,FALSE),4),0)) + IF(ISNUMBER(VLOOKUP("4",A2:W103,20,FALSE)),ROUND(VLOOKUP("4",A2:W103,20,FALSE),4),0) - IF(ISNUMBER(VLOOKUP("5",A2:W103,20,FALSE)),ROUND(VLOOKUP("5",A2:W103,20,FALSE),4),0)</f>
      </c>
      <c r="U102" s="11">
        <f>=IF(ISNUMBER(VLOOKUP("1",A2:W103,21,FALSE)),ROUND(VLOOKUP("1",A2:W103,21,FALSE),4),0) - (IF(ISNUMBER(VLOOKUP("2.1",A2:W103,21,FALSE)),ROUND(VLOOKUP("2.1",A2:W103,21,FALSE),4),0) + IF(ISNUMBER(VLOOKUP("10.1.2",A2:W103,21,FALSE)),ROUND(VLOOKUP("10.1.2",A2:W103,21,FALSE),4),0)) + IF(ISNUMBER(VLOOKUP("4",A2:W103,21,FALSE)),ROUND(VLOOKUP("4",A2:W103,21,FALSE),4),0) - IF(ISNUMBER(VLOOKUP("5",A2:W103,21,FALSE)),ROUND(VLOOKUP("5",A2:W103,21,FALSE),4),0)</f>
      </c>
      <c r="V102" s="11">
        <f>=IF(ISNUMBER(VLOOKUP("1",A2:W103,22,FALSE)),ROUND(VLOOKUP("1",A2:W103,22,FALSE),4),0) - (IF(ISNUMBER(VLOOKUP("2.1",A2:W103,22,FALSE)),ROUND(VLOOKUP("2.1",A2:W103,22,FALSE),4),0) + IF(ISNUMBER(VLOOKUP("10.1.2",A2:W103,22,FALSE)),ROUND(VLOOKUP("10.1.2",A2:W103,22,FALSE),4),0)) + IF(ISNUMBER(VLOOKUP("4",A2:W103,22,FALSE)),ROUND(VLOOKUP("4",A2:W103,22,FALSE),4),0) - IF(ISNUMBER(VLOOKUP("5",A2:W103,22,FALSE)),ROUND(VLOOKUP("5",A2:W103,22,FALSE),4),0)</f>
      </c>
      <c r="W102" s="11">
        <f>=IF(ISNUMBER(VLOOKUP("1",A2:W103,23,FALSE)),ROUND(VLOOKUP("1",A2:W103,23,FALSE),4),0) - (IF(ISNUMBER(VLOOKUP("2.1",A2:W103,23,FALSE)),ROUND(VLOOKUP("2.1",A2:W103,23,FALSE),4),0) + IF(ISNUMBER(VLOOKUP("10.1.2",A2:W103,23,FALSE)),ROUND(VLOOKUP("10.1.2",A2:W103,23,FALSE),4),0)) + IF(ISNUMBER(VLOOKUP("4",A2:W103,23,FALSE)),ROUND(VLOOKUP("4",A2:W103,23,FALSE),4),0) - IF(ISNUMBER(VLOOKUP("5",A2:W103,23,FALSE)),ROUND(VLOOKUP("5",A2:W103,23,FALSE),4),0)</f>
      </c>
    </row>
  </sheetData>
  <mergeCells>
    <mergeCell ref="C56:W56"/>
    <mergeCell ref="C60:W60"/>
    <mergeCell ref="C68:W68"/>
    <mergeCell ref="C81:W81"/>
  </mergeCells>
  <conditionalFormatting sqref="B31:W31">
    <cfRule priority="1" type="beginsWith" operator="beginsWith" text="Tak" dxfId="0">
      <formula>LEFT(B31,LEN("Tak"))="Tak"</formula>
    </cfRule>
    <cfRule priority="2" type="beginsWith" operator="beginsWith" text="Nie" dxfId="1">
      <formula>LEFT(B31,LEN("Nie"))="Nie"</formula>
    </cfRule>
  </conditionalFormatting>
  <conditionalFormatting sqref="B66:W66">
    <cfRule priority="3" type="beginsWith" operator="beginsWith" text="Tak" dxfId="0">
      <formula>LEFT(B66,LEN("Tak"))="Tak"</formula>
    </cfRule>
    <cfRule priority="4" type="beginsWith" operator="beginsWith" text="Nie" dxfId="1">
      <formula>LEFT(B66,LEN("Nie"))="Nie"</formula>
    </cfRule>
  </conditionalFormatting>
  <conditionalFormatting sqref="B67:W67">
    <cfRule priority="5" type="beginsWith" operator="beginsWith" text="Tak" dxfId="0">
      <formula>LEFT(B67,LEN("Tak"))="Tak"</formula>
    </cfRule>
    <cfRule priority="6" type="beginsWith" operator="beginsWith" text="Nie" dxfId="1">
      <formula>LEFT(B67,LEN("Nie"))="Nie"</formula>
    </cfRule>
  </conditionalFormatting>
  <headerFooter/>
</worksheet>
</file>

<file path=docProps/app.xml><?xml version="1.0" encoding="utf-8"?>
<Properties xmlns:vt="http://schemas.openxmlformats.org/officeDocument/2006/docPropsVTypes" xmlns="http://schemas.openxmlformats.org/officeDocument/2006/extended-properties"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Wieloletnia prognoza finansowa</dc:title>
  <dc:creator>http://www.publink.com/wpf</dc:creator>
  <dc:subject>WPF Asystent - Załącznik 1</dc:subject>
  <cp:keywords>wpf, wieloletnia prognoza finansowa, wpf asystent</cp:keywords>
</cp:coreProperties>
</file>

<file path=docProps/custom.xml><?xml version="1.0" encoding="utf-8"?>
<Properties xmlns:vt="http://schemas.openxmlformats.org/officeDocument/2006/docPropsVTypes" xmlns="http://schemas.openxmlformats.org/officeDocument/2006/custom-properties">
</Properties>
</file>